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815" windowWidth="19260" windowHeight="2955" tabRatio="874" activeTab="0"/>
  </bookViews>
  <sheets>
    <sheet name="Content" sheetId="1" r:id="rId1"/>
    <sheet name="Datasets" sheetId="2" r:id="rId2"/>
    <sheet name="General Issues" sheetId="3" r:id="rId3"/>
    <sheet name="Data Description" sheetId="4" r:id="rId4"/>
    <sheet name="Master Sheet" sheetId="5" r:id="rId5"/>
    <sheet name="List of Data" sheetId="6" r:id="rId6"/>
    <sheet name="Auckland" sheetId="7" r:id="rId7"/>
    <sheet name="Bay of Plenty" sheetId="8" r:id="rId8"/>
    <sheet name="Canterbury" sheetId="9" r:id="rId9"/>
    <sheet name="Gisborne" sheetId="10" r:id="rId10"/>
    <sheet name="Hawkes Bay" sheetId="11" r:id="rId11"/>
    <sheet name="Manawatu Wanganui " sheetId="12" r:id="rId12"/>
    <sheet name="Marlborough" sheetId="13" r:id="rId13"/>
    <sheet name="Nelson" sheetId="14" r:id="rId14"/>
    <sheet name="Northland" sheetId="15" r:id="rId15"/>
    <sheet name="Otago" sheetId="16" r:id="rId16"/>
    <sheet name="Southland" sheetId="17" r:id="rId17"/>
    <sheet name="Taranaki" sheetId="18" r:id="rId18"/>
    <sheet name="Tasman" sheetId="19" r:id="rId19"/>
    <sheet name="Waikato" sheetId="20" r:id="rId20"/>
    <sheet name="Wellington" sheetId="21" r:id="rId21"/>
    <sheet name="West Coast" sheetId="22" r:id="rId22"/>
    <sheet name="RegionTemp" sheetId="23" r:id="rId23"/>
  </sheets>
  <definedNames>
    <definedName name="_xlnm._FilterDatabase" localSheetId="4" hidden="1">'Master Sheet'!$A$11:$C$131</definedName>
  </definedNames>
  <calcPr fullCalcOnLoad="1"/>
</workbook>
</file>

<file path=xl/comments10.xml><?xml version="1.0" encoding="utf-8"?>
<comments xmlns="http://schemas.openxmlformats.org/spreadsheetml/2006/main">
  <authors>
    <author>maxine.watene</author>
    <author>Library</author>
    <author>Riddhi</author>
    <author>Dave Mare</author>
  </authors>
  <commentList>
    <comment ref="C2" authorId="0">
      <text>
        <r>
          <rPr>
            <b/>
            <sz val="8"/>
            <rFont val="Tahoma"/>
            <family val="2"/>
          </rPr>
          <t>roading figure out of step with future years</t>
        </r>
        <r>
          <rPr>
            <sz val="8"/>
            <rFont val="Tahoma"/>
            <family val="2"/>
          </rPr>
          <t xml:space="preserve">
</t>
        </r>
      </text>
    </comment>
    <comment ref="H2" authorId="1">
      <text>
        <r>
          <rPr>
            <b/>
            <sz val="8"/>
            <rFont val="Tahoma"/>
            <family val="2"/>
          </rPr>
          <t>budgeted figures</t>
        </r>
        <r>
          <rPr>
            <sz val="8"/>
            <rFont val="Tahoma"/>
            <family val="2"/>
          </rPr>
          <t xml:space="preserve">
</t>
        </r>
      </text>
    </comment>
    <comment ref="L2" authorId="0">
      <text>
        <r>
          <rPr>
            <b/>
            <sz val="8"/>
            <rFont val="Tahoma"/>
            <family val="2"/>
          </rPr>
          <t>utilities revenue &amp; expenditure not broken down</t>
        </r>
        <r>
          <rPr>
            <sz val="8"/>
            <rFont val="Tahoma"/>
            <family val="2"/>
          </rPr>
          <t xml:space="preserve">
</t>
        </r>
      </text>
    </comment>
    <comment ref="Q2" authorId="2">
      <text>
        <r>
          <rPr>
            <b/>
            <sz val="9"/>
            <rFont val="Tahoma"/>
            <family val="2"/>
          </rPr>
          <t>Revenue and expenditure cannot be extracted for any of the service categories. This is because roadings, rivers, drainage, communty facilities, solid waste, water supply, waste water and storm water are combined. The total revenue for these activities is $11869 k, and total expenditure $36788 k</t>
        </r>
      </text>
    </comment>
    <comment ref="F15" authorId="3">
      <text>
        <r>
          <rPr>
            <b/>
            <sz val="8"/>
            <rFont val="Tahoma"/>
            <family val="2"/>
          </rPr>
          <t>includes penalty rates</t>
        </r>
        <r>
          <rPr>
            <sz val="8"/>
            <rFont val="Tahoma"/>
            <family val="2"/>
          </rPr>
          <t xml:space="preserve">
</t>
        </r>
      </text>
    </comment>
    <comment ref="J15" authorId="1">
      <text>
        <r>
          <rPr>
            <b/>
            <sz val="8"/>
            <rFont val="Tahoma"/>
            <family val="2"/>
          </rPr>
          <t>includes penalties</t>
        </r>
        <r>
          <rPr>
            <sz val="8"/>
            <rFont val="Tahoma"/>
            <family val="2"/>
          </rPr>
          <t xml:space="preserve">
</t>
        </r>
      </text>
    </comment>
    <comment ref="H57" authorId="1">
      <text>
        <r>
          <rPr>
            <b/>
            <sz val="8"/>
            <rFont val="Tahoma"/>
            <family val="2"/>
          </rPr>
          <t>funded by rates $5448k &amp; equity $5139k</t>
        </r>
        <r>
          <rPr>
            <sz val="8"/>
            <rFont val="Tahoma"/>
            <family val="2"/>
          </rPr>
          <t xml:space="preserve">
</t>
        </r>
      </text>
    </comment>
    <comment ref="I57" authorId="1">
      <text>
        <r>
          <rPr>
            <b/>
            <sz val="8"/>
            <rFont val="Tahoma"/>
            <family val="2"/>
          </rPr>
          <t>includes depreciaion</t>
        </r>
        <r>
          <rPr>
            <sz val="8"/>
            <rFont val="Tahoma"/>
            <family val="2"/>
          </rPr>
          <t xml:space="preserve">
includes stormwater, sewerage, refuse &amp; water supply </t>
        </r>
      </text>
    </comment>
    <comment ref="N57" authorId="2">
      <text>
        <r>
          <rPr>
            <b/>
            <sz val="8"/>
            <rFont val="Tahoma"/>
            <family val="2"/>
          </rPr>
          <t>Expenditure on urban services differs in two parts of the report - $12828k in consolidated financial section, and $17315k in urban services cost of statement. Difference is due to landfill write offs $4487k</t>
        </r>
      </text>
    </comment>
    <comment ref="C59" authorId="3">
      <text>
        <r>
          <rPr>
            <b/>
            <sz val="8"/>
            <rFont val="Tahoma"/>
            <family val="2"/>
          </rPr>
          <t>unsure of total</t>
        </r>
        <r>
          <rPr>
            <sz val="8"/>
            <rFont val="Tahoma"/>
            <family val="2"/>
          </rPr>
          <t xml:space="preserve">
</t>
        </r>
      </text>
    </comment>
    <comment ref="H62" authorId="1">
      <text>
        <r>
          <rPr>
            <b/>
            <sz val="8"/>
            <rFont val="Tahoma"/>
            <family val="2"/>
          </rPr>
          <t>conservation $1975k included in figure</t>
        </r>
      </text>
    </comment>
    <comment ref="I62" authorId="1">
      <text>
        <r>
          <rPr>
            <b/>
            <sz val="8"/>
            <rFont val="Tahoma"/>
            <family val="2"/>
          </rPr>
          <t>includes commercial activities-unable to separate figures</t>
        </r>
        <r>
          <rPr>
            <sz val="8"/>
            <rFont val="Tahoma"/>
            <family val="2"/>
          </rPr>
          <t xml:space="preserve">
</t>
        </r>
      </text>
    </comment>
    <comment ref="E63" authorId="0">
      <text>
        <r>
          <rPr>
            <b/>
            <sz val="8"/>
            <rFont val="Tahoma"/>
            <family val="2"/>
          </rPr>
          <t>roading figure is much higher than future years-unsure why</t>
        </r>
        <r>
          <rPr>
            <sz val="8"/>
            <rFont val="Tahoma"/>
            <family val="2"/>
          </rPr>
          <t xml:space="preserve">
</t>
        </r>
      </text>
    </comment>
    <comment ref="F63" authorId="3">
      <text>
        <r>
          <rPr>
            <b/>
            <sz val="8"/>
            <rFont val="Tahoma"/>
            <family val="2"/>
          </rPr>
          <t>district land transport + non-subsidised roading</t>
        </r>
        <r>
          <rPr>
            <sz val="8"/>
            <rFont val="Tahoma"/>
            <family val="2"/>
          </rPr>
          <t xml:space="preserve">
</t>
        </r>
      </text>
    </comment>
    <comment ref="F64" authorId="3">
      <text>
        <r>
          <rPr>
            <b/>
            <sz val="8"/>
            <rFont val="Tahoma"/>
            <family val="2"/>
          </rPr>
          <t>urban services includes water supply</t>
        </r>
        <r>
          <rPr>
            <sz val="8"/>
            <rFont val="Tahoma"/>
            <family val="2"/>
          </rPr>
          <t xml:space="preserve">
</t>
        </r>
      </text>
    </comment>
    <comment ref="I64" authorId="1">
      <text>
        <r>
          <rPr>
            <b/>
            <sz val="8"/>
            <rFont val="Tahoma"/>
            <family val="2"/>
          </rPr>
          <t>includes water supply</t>
        </r>
        <r>
          <rPr>
            <sz val="8"/>
            <rFont val="Tahoma"/>
            <family val="2"/>
          </rPr>
          <t xml:space="preserve">
</t>
        </r>
      </text>
    </comment>
    <comment ref="P64" authorId="2">
      <text>
        <r>
          <rPr>
            <b/>
            <sz val="9"/>
            <rFont val="Tahoma"/>
            <family val="2"/>
          </rPr>
          <t>Urban services no longer include expenditure for parks and reserves</t>
        </r>
      </text>
    </comment>
    <comment ref="Q69" authorId="2">
      <text>
        <r>
          <rPr>
            <b/>
            <sz val="9"/>
            <rFont val="Tahoma"/>
            <family val="2"/>
          </rPr>
          <t>total activity expenditure for most of the services in A41 to A44 is $36788k. This excludes emergency services, property, ports and econ devo.</t>
        </r>
        <r>
          <rPr>
            <sz val="9"/>
            <rFont val="Tahoma"/>
            <family val="2"/>
          </rPr>
          <t xml:space="preserve">
</t>
        </r>
      </text>
    </comment>
    <comment ref="R69" authorId="2">
      <text>
        <r>
          <rPr>
            <b/>
            <sz val="9"/>
            <rFont val="Tahoma"/>
            <family val="2"/>
          </rPr>
          <t>Econ devo, community facilties, roading, water, wastewater, refuse, rivers, drainage are all included. Property and emergency management and ports cannot include.</t>
        </r>
      </text>
    </comment>
    <comment ref="C72" authorId="3">
      <text>
        <r>
          <rPr>
            <b/>
            <sz val="8"/>
            <rFont val="Tahoma"/>
            <family val="2"/>
          </rPr>
          <t>unsure of total</t>
        </r>
        <r>
          <rPr>
            <sz val="8"/>
            <rFont val="Tahoma"/>
            <family val="2"/>
          </rPr>
          <t xml:space="preserve">
</t>
        </r>
      </text>
    </comment>
    <comment ref="J74" authorId="1">
      <text>
        <r>
          <rPr>
            <b/>
            <sz val="8"/>
            <rFont val="Tahoma"/>
            <family val="2"/>
          </rPr>
          <t>increase in revaluation reserve $180.66 million</t>
        </r>
        <r>
          <rPr>
            <sz val="8"/>
            <rFont val="Tahoma"/>
            <family val="2"/>
          </rPr>
          <t xml:space="preserve">
</t>
        </r>
      </text>
    </comment>
    <comment ref="P74" authorId="2">
      <text>
        <r>
          <rPr>
            <b/>
            <sz val="9"/>
            <rFont val="Tahoma"/>
            <family val="2"/>
          </rPr>
          <t>Increase in net asset revaluation reserves by $349.088 million</t>
        </r>
        <r>
          <rPr>
            <sz val="9"/>
            <rFont val="Tahoma"/>
            <family val="2"/>
          </rPr>
          <t xml:space="preserve">
</t>
        </r>
      </text>
    </comment>
    <comment ref="B64" authorId="2">
      <text>
        <r>
          <rPr>
            <b/>
            <sz val="9"/>
            <rFont val="Tahoma"/>
            <family val="2"/>
          </rPr>
          <t>Sewerage and refuse</t>
        </r>
      </text>
    </comment>
    <comment ref="D64" authorId="2">
      <text>
        <r>
          <rPr>
            <b/>
            <sz val="9"/>
            <rFont val="Tahoma"/>
            <family val="2"/>
          </rPr>
          <t>Incl water supplies</t>
        </r>
        <r>
          <rPr>
            <sz val="9"/>
            <rFont val="Tahoma"/>
            <family val="2"/>
          </rPr>
          <t xml:space="preserve">
</t>
        </r>
      </text>
    </comment>
    <comment ref="D67" authorId="2">
      <text>
        <r>
          <rPr>
            <b/>
            <sz val="9"/>
            <rFont val="Tahoma"/>
            <family val="2"/>
          </rPr>
          <t>Includes pest control</t>
        </r>
      </text>
    </comment>
  </commentList>
</comments>
</file>

<file path=xl/comments11.xml><?xml version="1.0" encoding="utf-8"?>
<comments xmlns="http://schemas.openxmlformats.org/spreadsheetml/2006/main">
  <authors>
    <author>Riddhi</author>
  </authors>
  <commentList>
    <comment ref="B13" authorId="0">
      <text>
        <r>
          <rPr>
            <sz val="9"/>
            <rFont val="Tahoma"/>
            <family val="2"/>
          </rPr>
          <t xml:space="preserve">Works rate $4897 k. Allocations from the works rate used to fund many activities  i.e. Behaves like a general rate
</t>
        </r>
      </text>
    </comment>
    <comment ref="B69" authorId="0">
      <text>
        <r>
          <rPr>
            <b/>
            <sz val="9"/>
            <rFont val="Tahoma"/>
            <family val="2"/>
          </rPr>
          <t>No expenditure breakdown given</t>
        </r>
        <r>
          <rPr>
            <sz val="9"/>
            <rFont val="Tahoma"/>
            <family val="2"/>
          </rPr>
          <t xml:space="preserve">
</t>
        </r>
      </text>
    </comment>
    <comment ref="B37" authorId="0">
      <text>
        <r>
          <rPr>
            <b/>
            <sz val="9"/>
            <rFont val="Tahoma"/>
            <family val="2"/>
          </rPr>
          <t>Excludes works and general rate allocations used to balance budget to avoid double counting ($1725, $920) repectively</t>
        </r>
      </text>
    </comment>
    <comment ref="B63" authorId="0">
      <text>
        <r>
          <rPr>
            <b/>
            <sz val="9"/>
            <rFont val="Tahoma"/>
            <family val="2"/>
          </rPr>
          <t>Transport planning costs</t>
        </r>
        <r>
          <rPr>
            <sz val="9"/>
            <rFont val="Tahoma"/>
            <family val="2"/>
          </rPr>
          <t xml:space="preserve">
</t>
        </r>
      </text>
    </comment>
    <comment ref="C66" authorId="0">
      <text>
        <r>
          <rPr>
            <b/>
            <sz val="9"/>
            <rFont val="Tahoma"/>
            <family val="2"/>
          </rPr>
          <t>Less expnditure capitalised as infrastructural assets $2999k. Also considerable drop in flood mitigation costs</t>
        </r>
        <r>
          <rPr>
            <sz val="9"/>
            <rFont val="Tahoma"/>
            <family val="2"/>
          </rPr>
          <t xml:space="preserve">
</t>
        </r>
      </text>
    </comment>
    <comment ref="C63" authorId="0">
      <text>
        <r>
          <rPr>
            <b/>
            <sz val="9"/>
            <rFont val="Tahoma"/>
            <family val="2"/>
          </rPr>
          <t>First time disclosure of transport subsidies</t>
        </r>
        <r>
          <rPr>
            <sz val="9"/>
            <rFont val="Tahoma"/>
            <family val="2"/>
          </rPr>
          <t xml:space="preserve">
</t>
        </r>
      </text>
    </comment>
    <comment ref="C37" authorId="0">
      <text>
        <r>
          <rPr>
            <b/>
            <sz val="9"/>
            <rFont val="Tahoma"/>
            <family val="2"/>
          </rPr>
          <t>Direct charges, grant, gravel fees, rentals incl. Excludes work &amp; general rate allocations, movement in funding reserves and capital activities</t>
        </r>
        <r>
          <rPr>
            <sz val="9"/>
            <rFont val="Tahoma"/>
            <family val="2"/>
          </rPr>
          <t xml:space="preserve">
</t>
        </r>
      </text>
    </comment>
    <comment ref="C62" authorId="0">
      <text>
        <r>
          <rPr>
            <sz val="9"/>
            <rFont val="Tahoma"/>
            <family val="2"/>
          </rPr>
          <t xml:space="preserve">Asset managment and property (leaseholds) unable to separate
</t>
        </r>
      </text>
    </comment>
    <comment ref="D62" authorId="0">
      <text>
        <r>
          <rPr>
            <b/>
            <sz val="9"/>
            <rFont val="Tahoma"/>
            <family val="2"/>
          </rPr>
          <t>Includes port napier, tangoio reserve and tourism courses at hawkes bay polytechnic</t>
        </r>
        <r>
          <rPr>
            <sz val="9"/>
            <rFont val="Tahoma"/>
            <family val="2"/>
          </rPr>
          <t xml:space="preserve">
</t>
        </r>
      </text>
    </comment>
    <comment ref="G9" authorId="0">
      <text>
        <r>
          <rPr>
            <b/>
            <sz val="9"/>
            <rFont val="Tahoma"/>
            <family val="2"/>
          </rPr>
          <t>Known as 'land drainage and river control' rate.</t>
        </r>
        <r>
          <rPr>
            <sz val="9"/>
            <rFont val="Tahoma"/>
            <family val="2"/>
          </rPr>
          <t xml:space="preserve">
</t>
        </r>
      </text>
    </comment>
    <comment ref="G36" authorId="0">
      <text>
        <r>
          <rPr>
            <b/>
            <sz val="9"/>
            <rFont val="Tahoma"/>
            <family val="2"/>
          </rPr>
          <t>Different from above as rates used to fund capital expenditure</t>
        </r>
        <r>
          <rPr>
            <sz val="9"/>
            <rFont val="Tahoma"/>
            <family val="2"/>
          </rPr>
          <t xml:space="preserve">
</t>
        </r>
      </text>
    </comment>
    <comment ref="G70" authorId="0">
      <text>
        <r>
          <rPr>
            <b/>
            <sz val="9"/>
            <rFont val="Tahoma"/>
            <family val="2"/>
          </rPr>
          <t>Napier Port expenses captured in other group expenditure.</t>
        </r>
        <r>
          <rPr>
            <sz val="9"/>
            <rFont val="Tahoma"/>
            <family val="2"/>
          </rPr>
          <t xml:space="preserve">
</t>
        </r>
      </text>
    </comment>
    <comment ref="H62" authorId="0">
      <text>
        <r>
          <rPr>
            <sz val="9"/>
            <rFont val="Tahoma"/>
            <family val="2"/>
          </rPr>
          <t xml:space="preserve">Includes harbour functions such as navigation and safety responsibilities
</t>
        </r>
      </text>
    </comment>
    <comment ref="H67" authorId="0">
      <text>
        <r>
          <rPr>
            <b/>
            <sz val="9"/>
            <rFont val="Tahoma"/>
            <family val="2"/>
          </rPr>
          <t>Excludes hland mgmt (pest control)</t>
        </r>
        <r>
          <rPr>
            <sz val="9"/>
            <rFont val="Tahoma"/>
            <family val="2"/>
          </rPr>
          <t xml:space="preserve">
</t>
        </r>
      </text>
    </comment>
    <comment ref="J5" authorId="0">
      <text>
        <r>
          <rPr>
            <b/>
            <sz val="9"/>
            <rFont val="Tahoma"/>
            <family val="2"/>
          </rPr>
          <t>No general rate was struck as the council decided to  use the income from special Port dividend received in 1997/98</t>
        </r>
      </text>
    </comment>
    <comment ref="H51" authorId="0">
      <text>
        <r>
          <rPr>
            <b/>
            <sz val="9"/>
            <rFont val="Tahoma"/>
            <family val="2"/>
          </rPr>
          <t>Adjusted for cost of land mgmt</t>
        </r>
      </text>
    </comment>
    <comment ref="O63" authorId="0">
      <text>
        <r>
          <rPr>
            <b/>
            <sz val="9"/>
            <rFont val="Tahoma"/>
            <family val="2"/>
          </rPr>
          <t>Regional Land Transport Strategy introduced</t>
        </r>
      </text>
    </comment>
    <comment ref="P36" authorId="0">
      <text>
        <r>
          <rPr>
            <b/>
            <sz val="9"/>
            <rFont val="Tahoma"/>
            <family val="2"/>
          </rPr>
          <t>May be used to fund capital</t>
        </r>
        <r>
          <rPr>
            <sz val="9"/>
            <rFont val="Tahoma"/>
            <family val="2"/>
          </rPr>
          <t xml:space="preserve">
</t>
        </r>
      </text>
    </comment>
    <comment ref="P37" authorId="0">
      <text>
        <r>
          <rPr>
            <b/>
            <sz val="9"/>
            <rFont val="Tahoma"/>
            <family val="2"/>
          </rPr>
          <t>Activity revenue only</t>
        </r>
      </text>
    </comment>
    <comment ref="P43" authorId="0">
      <text>
        <r>
          <rPr>
            <b/>
            <sz val="9"/>
            <rFont val="Tahoma"/>
            <family val="2"/>
          </rPr>
          <t>Activtiy revenue only</t>
        </r>
      </text>
    </comment>
    <comment ref="P49" authorId="0">
      <text>
        <r>
          <rPr>
            <b/>
            <sz val="9"/>
            <rFont val="Tahoma"/>
            <family val="2"/>
          </rPr>
          <t>Activity revenue only</t>
        </r>
        <r>
          <rPr>
            <sz val="9"/>
            <rFont val="Tahoma"/>
            <family val="2"/>
          </rPr>
          <t xml:space="preserve">
</t>
        </r>
      </text>
    </comment>
    <comment ref="B49" authorId="0">
      <text>
        <r>
          <rPr>
            <b/>
            <sz val="9"/>
            <rFont val="Tahoma"/>
            <family val="2"/>
          </rPr>
          <t>Due to opening/closing balances. Unsure if this reflects actual operating revenue or is carried out to balance the budget</t>
        </r>
        <r>
          <rPr>
            <sz val="9"/>
            <rFont val="Tahoma"/>
            <family val="2"/>
          </rPr>
          <t xml:space="preserve">
</t>
        </r>
      </text>
    </comment>
    <comment ref="B36" authorId="0">
      <text>
        <r>
          <rPr>
            <sz val="9"/>
            <rFont val="Tahoma"/>
            <family val="2"/>
          </rPr>
          <t xml:space="preserve">Works rate treated like targeted rates
</t>
        </r>
      </text>
    </comment>
  </commentList>
</comments>
</file>

<file path=xl/comments12.xml><?xml version="1.0" encoding="utf-8"?>
<comments xmlns="http://schemas.openxmlformats.org/spreadsheetml/2006/main">
  <authors>
    <author>Riddhi</author>
  </authors>
  <commentList>
    <comment ref="B2" authorId="0">
      <text>
        <r>
          <rPr>
            <b/>
            <sz val="9"/>
            <rFont val="Tahoma"/>
            <family val="2"/>
          </rPr>
          <t>All expenditure figures include corporate overhead allocation</t>
        </r>
        <r>
          <rPr>
            <sz val="9"/>
            <rFont val="Tahoma"/>
            <family val="2"/>
          </rPr>
          <t xml:space="preserve">
</t>
        </r>
      </text>
    </comment>
    <comment ref="C74" authorId="0">
      <text>
        <r>
          <rPr>
            <b/>
            <sz val="9"/>
            <rFont val="Tahoma"/>
            <family val="2"/>
          </rPr>
          <t>general provisions $2.13 million. Capital assets appropriation $86.814 million</t>
        </r>
      </text>
    </comment>
    <comment ref="D68" authorId="0">
      <text>
        <r>
          <rPr>
            <b/>
            <sz val="9"/>
            <rFont val="Tahoma"/>
            <family val="2"/>
          </rPr>
          <t>Incl noxious plant program carried out by council for NZ Railway Corp and Defence Dept, possum and animal pest control contracted with Animal Health Board. This has no affect on net figures i.e. Always a balanced budget with no burden to rate payers</t>
        </r>
      </text>
    </comment>
    <comment ref="B67" authorId="0">
      <text>
        <r>
          <rPr>
            <b/>
            <sz val="9"/>
            <rFont val="Tahoma"/>
            <family val="2"/>
          </rPr>
          <t>Emergency response, staff training, social and resource policy are all combined and therefore excluded</t>
        </r>
        <r>
          <rPr>
            <sz val="9"/>
            <rFont val="Tahoma"/>
            <family val="2"/>
          </rPr>
          <t xml:space="preserve">
</t>
        </r>
      </text>
    </comment>
    <comment ref="G62" authorId="0">
      <text>
        <r>
          <rPr>
            <b/>
            <sz val="9"/>
            <rFont val="Tahoma"/>
            <family val="2"/>
          </rPr>
          <t>Civil defence and resource policy combined</t>
        </r>
        <r>
          <rPr>
            <sz val="9"/>
            <rFont val="Tahoma"/>
            <family val="2"/>
          </rPr>
          <t xml:space="preserve">
</t>
        </r>
      </text>
    </comment>
    <comment ref="B15" authorId="0">
      <text>
        <r>
          <rPr>
            <b/>
            <sz val="9"/>
            <rFont val="Tahoma"/>
            <family val="2"/>
          </rPr>
          <t>Appear not to include penalties</t>
        </r>
      </text>
    </comment>
    <comment ref="G15" authorId="0">
      <text>
        <r>
          <rPr>
            <b/>
            <sz val="9"/>
            <rFont val="Tahoma"/>
            <family val="2"/>
          </rPr>
          <t>Includes penalties</t>
        </r>
      </text>
    </comment>
    <comment ref="H43" authorId="0">
      <text>
        <r>
          <rPr>
            <b/>
            <sz val="9"/>
            <rFont val="Tahoma"/>
            <family val="2"/>
          </rPr>
          <t>Other revenue not broken down for each activity as before. Cannot include</t>
        </r>
        <r>
          <rPr>
            <sz val="9"/>
            <rFont val="Tahoma"/>
            <family val="2"/>
          </rPr>
          <t xml:space="preserve">
</t>
        </r>
      </text>
    </comment>
    <comment ref="H63" authorId="0">
      <text>
        <r>
          <rPr>
            <b/>
            <sz val="9"/>
            <rFont val="Tahoma"/>
            <family val="2"/>
          </rPr>
          <t>Passenger trnasport introduced</t>
        </r>
        <r>
          <rPr>
            <sz val="9"/>
            <rFont val="Tahoma"/>
            <family val="2"/>
          </rPr>
          <t xml:space="preserve">
</t>
        </r>
      </text>
    </comment>
    <comment ref="H51" authorId="0">
      <text>
        <r>
          <rPr>
            <b/>
            <sz val="9"/>
            <rFont val="Tahoma"/>
            <family val="2"/>
          </rPr>
          <t>Cannot separate costs of animal and pest control, from sustainable land mgmt.</t>
        </r>
        <r>
          <rPr>
            <sz val="9"/>
            <rFont val="Tahoma"/>
            <family val="2"/>
          </rPr>
          <t xml:space="preserve">
</t>
        </r>
      </text>
    </comment>
    <comment ref="H68" authorId="0">
      <text>
        <r>
          <rPr>
            <sz val="9"/>
            <rFont val="Tahoma"/>
            <family val="2"/>
          </rPr>
          <t xml:space="preserve">Tb Vector control operations separate and included
</t>
        </r>
      </text>
    </comment>
    <comment ref="I62" authorId="0">
      <text>
        <r>
          <rPr>
            <b/>
            <sz val="9"/>
            <rFont val="Tahoma"/>
            <family val="2"/>
          </rPr>
          <t>Civil defence and regional tourism</t>
        </r>
        <r>
          <rPr>
            <sz val="9"/>
            <rFont val="Tahoma"/>
            <family val="2"/>
          </rPr>
          <t xml:space="preserve">
</t>
        </r>
      </text>
    </comment>
    <comment ref="M68" authorId="0">
      <text>
        <r>
          <rPr>
            <b/>
            <sz val="9"/>
            <rFont val="Tahoma"/>
            <family val="2"/>
          </rPr>
          <t>Inlcudes new animal pest control unit</t>
        </r>
        <r>
          <rPr>
            <sz val="9"/>
            <rFont val="Tahoma"/>
            <family val="2"/>
          </rPr>
          <t xml:space="preserve">
</t>
        </r>
      </text>
    </comment>
    <comment ref="N62" authorId="0">
      <text>
        <r>
          <rPr>
            <b/>
            <sz val="9"/>
            <rFont val="Tahoma"/>
            <family val="2"/>
          </rPr>
          <t>Includes gardens, parks, wildlife trusts</t>
        </r>
        <r>
          <rPr>
            <sz val="9"/>
            <rFont val="Tahoma"/>
            <family val="2"/>
          </rPr>
          <t xml:space="preserve">
</t>
        </r>
      </text>
    </comment>
    <comment ref="O68" authorId="0">
      <text>
        <r>
          <rPr>
            <b/>
            <sz val="9"/>
            <rFont val="Tahoma"/>
            <family val="2"/>
          </rPr>
          <t>Land mgmt part of monitoring</t>
        </r>
        <r>
          <rPr>
            <sz val="9"/>
            <rFont val="Tahoma"/>
            <family val="2"/>
          </rPr>
          <t xml:space="preserve">
</t>
        </r>
      </text>
    </comment>
    <comment ref="O67" authorId="0">
      <text>
        <r>
          <rPr>
            <b/>
            <sz val="9"/>
            <rFont val="Tahoma"/>
            <family val="2"/>
          </rPr>
          <t>Land mgmt part of monitoring</t>
        </r>
        <r>
          <rPr>
            <sz val="9"/>
            <rFont val="Tahoma"/>
            <family val="2"/>
          </rPr>
          <t xml:space="preserve">
</t>
        </r>
      </text>
    </comment>
    <comment ref="P2" authorId="0">
      <text>
        <r>
          <rPr>
            <b/>
            <sz val="9"/>
            <rFont val="Tahoma"/>
            <family val="2"/>
          </rPr>
          <t>Group figures introduced</t>
        </r>
      </text>
    </comment>
    <comment ref="P66" authorId="0">
      <text>
        <r>
          <rPr>
            <b/>
            <sz val="9"/>
            <rFont val="Tahoma"/>
            <family val="2"/>
          </rPr>
          <t xml:space="preserve">Net costs combined for emergency mgmt, flood control, biosecurity, pest mgmt, and drainage. Unable to include animal pest unit as it is combined with other corporate activities. </t>
        </r>
        <r>
          <rPr>
            <sz val="9"/>
            <rFont val="Tahoma"/>
            <family val="2"/>
          </rPr>
          <t xml:space="preserve">
</t>
        </r>
      </text>
    </comment>
    <comment ref="P36" authorId="0">
      <text>
        <r>
          <rPr>
            <b/>
            <sz val="9"/>
            <rFont val="Tahoma"/>
            <family val="2"/>
          </rPr>
          <t>Combined emergency mgmt, floods, drainage and pest control. Inlcudes rates for storm impact</t>
        </r>
        <r>
          <rPr>
            <sz val="9"/>
            <rFont val="Tahoma"/>
            <family val="2"/>
          </rPr>
          <t xml:space="preserve">
</t>
        </r>
      </text>
    </comment>
    <comment ref="R13" authorId="0">
      <text>
        <r>
          <rPr>
            <b/>
            <sz val="9"/>
            <rFont val="Tahoma"/>
            <family val="2"/>
          </rPr>
          <t>Unsure if these are all the separated rates charged</t>
        </r>
        <r>
          <rPr>
            <sz val="9"/>
            <rFont val="Tahoma"/>
            <family val="2"/>
          </rPr>
          <t xml:space="preserve">
</t>
        </r>
      </text>
    </comment>
  </commentList>
</comments>
</file>

<file path=xl/comments13.xml><?xml version="1.0" encoding="utf-8"?>
<comments xmlns="http://schemas.openxmlformats.org/spreadsheetml/2006/main">
  <authors>
    <author>Library</author>
    <author>Riddhi</author>
    <author>Dave Mare</author>
  </authors>
  <commentList>
    <comment ref="G2" authorId="0">
      <text>
        <r>
          <rPr>
            <b/>
            <sz val="8"/>
            <rFont val="Tahoma"/>
            <family val="2"/>
          </rPr>
          <t>unsure if revenue is user charges or separate rates-need to contact marlborough</t>
        </r>
        <r>
          <rPr>
            <sz val="8"/>
            <rFont val="Tahoma"/>
            <family val="2"/>
          </rPr>
          <t xml:space="preserve">
</t>
        </r>
      </text>
    </comment>
    <comment ref="M5" authorId="1">
      <text>
        <r>
          <rPr>
            <b/>
            <sz val="9"/>
            <rFont val="Tahoma"/>
            <family val="2"/>
          </rPr>
          <t>cannot replicate 2001 results</t>
        </r>
      </text>
    </comment>
    <comment ref="G18" authorId="0">
      <text>
        <r>
          <rPr>
            <b/>
            <sz val="8"/>
            <rFont val="Tahoma"/>
            <family val="2"/>
          </rPr>
          <t>unsure if separate rate or user charge</t>
        </r>
        <r>
          <rPr>
            <sz val="8"/>
            <rFont val="Tahoma"/>
            <family val="2"/>
          </rPr>
          <t xml:space="preserve">
</t>
        </r>
      </text>
    </comment>
    <comment ref="F24" authorId="2">
      <text>
        <r>
          <rPr>
            <b/>
            <sz val="8"/>
            <rFont val="Tahoma"/>
            <family val="2"/>
          </rPr>
          <t>unsure if rate or user charge</t>
        </r>
        <r>
          <rPr>
            <sz val="8"/>
            <rFont val="Tahoma"/>
            <family val="2"/>
          </rPr>
          <t xml:space="preserve">
</t>
        </r>
      </text>
    </comment>
    <comment ref="D25" authorId="2">
      <text>
        <r>
          <rPr>
            <b/>
            <sz val="8"/>
            <rFont val="Tahoma"/>
            <family val="2"/>
          </rPr>
          <t>may include stormwater</t>
        </r>
        <r>
          <rPr>
            <sz val="8"/>
            <rFont val="Tahoma"/>
            <family val="2"/>
          </rPr>
          <t xml:space="preserve">
</t>
        </r>
      </text>
    </comment>
    <comment ref="Q25" authorId="1">
      <text>
        <r>
          <rPr>
            <b/>
            <sz val="9"/>
            <rFont val="Tahoma"/>
            <family val="2"/>
          </rPr>
          <t>Subsidies $1117k</t>
        </r>
        <r>
          <rPr>
            <sz val="9"/>
            <rFont val="Tahoma"/>
            <family val="2"/>
          </rPr>
          <t xml:space="preserve">
</t>
        </r>
      </text>
    </comment>
    <comment ref="R25" authorId="1">
      <text>
        <r>
          <rPr>
            <b/>
            <sz val="9"/>
            <rFont val="Tahoma"/>
            <family val="2"/>
          </rPr>
          <t>Subsidies received</t>
        </r>
      </text>
    </comment>
    <comment ref="D27" authorId="2">
      <text>
        <r>
          <rPr>
            <b/>
            <sz val="8"/>
            <rFont val="Tahoma"/>
            <family val="2"/>
          </rPr>
          <t>stormwater ommitted from costs</t>
        </r>
        <r>
          <rPr>
            <sz val="8"/>
            <rFont val="Tahoma"/>
            <family val="2"/>
          </rPr>
          <t xml:space="preserve">
</t>
        </r>
      </text>
    </comment>
    <comment ref="F31" authorId="2">
      <text>
        <r>
          <rPr>
            <b/>
            <sz val="8"/>
            <rFont val="Tahoma"/>
            <family val="2"/>
          </rPr>
          <t>UNSURE IF RATES OR USER CHARGES</t>
        </r>
        <r>
          <rPr>
            <sz val="8"/>
            <rFont val="Tahoma"/>
            <family val="2"/>
          </rPr>
          <t xml:space="preserve">
</t>
        </r>
      </text>
    </comment>
    <comment ref="E62" authorId="2">
      <text>
        <r>
          <rPr>
            <b/>
            <sz val="8"/>
            <rFont val="Tahoma"/>
            <family val="2"/>
          </rPr>
          <t>airport &amp; port excluded as separate companies</t>
        </r>
        <r>
          <rPr>
            <sz val="8"/>
            <rFont val="Tahoma"/>
            <family val="2"/>
          </rPr>
          <t xml:space="preserve">
</t>
        </r>
      </text>
    </comment>
    <comment ref="M62" authorId="1">
      <text>
        <r>
          <rPr>
            <b/>
            <sz val="9"/>
            <rFont val="Tahoma"/>
            <family val="2"/>
          </rPr>
          <t>Includes property</t>
        </r>
        <r>
          <rPr>
            <sz val="9"/>
            <rFont val="Tahoma"/>
            <family val="2"/>
          </rPr>
          <t xml:space="preserve">
</t>
        </r>
      </text>
    </comment>
    <comment ref="H74" authorId="0">
      <text>
        <r>
          <rPr>
            <b/>
            <sz val="8"/>
            <rFont val="Tahoma"/>
            <family val="2"/>
          </rPr>
          <t>includes revaluation loss of $6.4 million</t>
        </r>
        <r>
          <rPr>
            <sz val="8"/>
            <rFont val="Tahoma"/>
            <family val="2"/>
          </rPr>
          <t xml:space="preserve">
</t>
        </r>
      </text>
    </comment>
    <comment ref="I74" authorId="2">
      <text>
        <r>
          <rPr>
            <b/>
            <sz val="8"/>
            <rFont val="Tahoma"/>
            <family val="2"/>
          </rPr>
          <t>SURPLUS $10.8 MILLION</t>
        </r>
        <r>
          <rPr>
            <sz val="8"/>
            <rFont val="Tahoma"/>
            <family val="2"/>
          </rPr>
          <t xml:space="preserve">
</t>
        </r>
      </text>
    </comment>
    <comment ref="J74" authorId="2">
      <text>
        <r>
          <rPr>
            <b/>
            <sz val="8"/>
            <rFont val="Tahoma"/>
            <family val="2"/>
          </rPr>
          <t>ASSET ADJ $103.6 MILLION</t>
        </r>
      </text>
    </comment>
    <comment ref="L74" authorId="0">
      <text>
        <r>
          <rPr>
            <b/>
            <sz val="8"/>
            <rFont val="Tahoma"/>
            <family val="2"/>
          </rPr>
          <t>asset revaluation $3.633 million</t>
        </r>
        <r>
          <rPr>
            <sz val="8"/>
            <rFont val="Tahoma"/>
            <family val="2"/>
          </rPr>
          <t xml:space="preserve">
</t>
        </r>
      </text>
    </comment>
    <comment ref="N74" authorId="1">
      <text>
        <r>
          <rPr>
            <b/>
            <sz val="9"/>
            <rFont val="Tahoma"/>
            <family val="2"/>
          </rPr>
          <t>Increase in revaluation reserves $83.156 million</t>
        </r>
        <r>
          <rPr>
            <sz val="9"/>
            <rFont val="Tahoma"/>
            <family val="2"/>
          </rPr>
          <t xml:space="preserve">
</t>
        </r>
      </text>
    </comment>
    <comment ref="S74" authorId="1">
      <text>
        <r>
          <rPr>
            <b/>
            <sz val="9"/>
            <rFont val="Tahoma"/>
            <family val="2"/>
          </rPr>
          <t>Increase in revaluation reserves $50.449 million and net surplus $23.001 million</t>
        </r>
        <r>
          <rPr>
            <sz val="9"/>
            <rFont val="Tahoma"/>
            <family val="2"/>
          </rPr>
          <t xml:space="preserve">
</t>
        </r>
      </text>
    </comment>
    <comment ref="G37" authorId="1">
      <text>
        <r>
          <rPr>
            <b/>
            <sz val="9"/>
            <rFont val="Tahoma"/>
            <family val="2"/>
          </rPr>
          <t>Unsure of how total activity revenue cn be broken down</t>
        </r>
        <r>
          <rPr>
            <sz val="9"/>
            <rFont val="Tahoma"/>
            <family val="2"/>
          </rPr>
          <t xml:space="preserve">
</t>
        </r>
      </text>
    </comment>
    <comment ref="G38" authorId="1">
      <text>
        <r>
          <rPr>
            <b/>
            <sz val="9"/>
            <rFont val="Tahoma"/>
            <family val="2"/>
          </rPr>
          <t>Total revenue may incl general rate allocations</t>
        </r>
      </text>
    </comment>
    <comment ref="G44" authorId="1">
      <text>
        <r>
          <rPr>
            <b/>
            <sz val="9"/>
            <rFont val="Tahoma"/>
            <family val="2"/>
          </rPr>
          <t>Total revenue may incl general rate allocations</t>
        </r>
      </text>
    </comment>
    <comment ref="G50" authorId="1">
      <text>
        <r>
          <rPr>
            <b/>
            <sz val="9"/>
            <rFont val="Tahoma"/>
            <family val="2"/>
          </rPr>
          <t>Total revenue may incl general rate allocations</t>
        </r>
      </text>
    </comment>
  </commentList>
</comments>
</file>

<file path=xl/comments14.xml><?xml version="1.0" encoding="utf-8"?>
<comments xmlns="http://schemas.openxmlformats.org/spreadsheetml/2006/main">
  <authors>
    <author>Library</author>
    <author>Riddhi</author>
    <author>Dave Mare</author>
  </authors>
  <commentList>
    <comment ref="G8" authorId="0">
      <text>
        <r>
          <rPr>
            <b/>
            <sz val="8"/>
            <rFont val="Tahoma"/>
            <family val="2"/>
          </rPr>
          <t>drainage-includes stormwater</t>
        </r>
        <r>
          <rPr>
            <sz val="8"/>
            <rFont val="Tahoma"/>
            <family val="2"/>
          </rPr>
          <t xml:space="preserve">
</t>
        </r>
      </text>
    </comment>
    <comment ref="M8" authorId="1">
      <text>
        <r>
          <rPr>
            <b/>
            <sz val="9"/>
            <rFont val="Tahoma"/>
            <family val="2"/>
          </rPr>
          <t>Includes drainage and stormwater</t>
        </r>
      </text>
    </comment>
    <comment ref="F15" authorId="2">
      <text>
        <r>
          <rPr>
            <b/>
            <sz val="8"/>
            <rFont val="Tahoma"/>
            <family val="2"/>
          </rPr>
          <t>no breakdown given</t>
        </r>
        <r>
          <rPr>
            <sz val="8"/>
            <rFont val="Tahoma"/>
            <family val="2"/>
          </rPr>
          <t xml:space="preserve">
</t>
        </r>
      </text>
    </comment>
    <comment ref="E25" authorId="2">
      <text>
        <r>
          <rPr>
            <b/>
            <sz val="8"/>
            <rFont val="Tahoma"/>
            <family val="2"/>
          </rPr>
          <t>includes stormwater</t>
        </r>
        <r>
          <rPr>
            <sz val="8"/>
            <rFont val="Tahoma"/>
            <family val="2"/>
          </rPr>
          <t xml:space="preserve">
</t>
        </r>
      </text>
    </comment>
    <comment ref="E27" authorId="2">
      <text>
        <r>
          <rPr>
            <b/>
            <sz val="8"/>
            <rFont val="Tahoma"/>
            <family val="2"/>
          </rPr>
          <t>stormwater extracted</t>
        </r>
        <r>
          <rPr>
            <sz val="8"/>
            <rFont val="Tahoma"/>
            <family val="2"/>
          </rPr>
          <t xml:space="preserve">
</t>
        </r>
      </text>
    </comment>
    <comment ref="F27" authorId="2">
      <text>
        <r>
          <rPr>
            <b/>
            <sz val="8"/>
            <rFont val="Tahoma"/>
            <family val="2"/>
          </rPr>
          <t>includes depreciation</t>
        </r>
        <r>
          <rPr>
            <sz val="8"/>
            <rFont val="Tahoma"/>
            <family val="2"/>
          </rPr>
          <t xml:space="preserve">
</t>
        </r>
      </text>
    </comment>
    <comment ref="M31" authorId="1">
      <text>
        <r>
          <rPr>
            <b/>
            <sz val="9"/>
            <rFont val="Tahoma"/>
            <family val="2"/>
          </rPr>
          <t>$178k may be a seperated rate</t>
        </r>
      </text>
    </comment>
    <comment ref="G59" authorId="0">
      <text>
        <r>
          <rPr>
            <b/>
            <sz val="8"/>
            <rFont val="Tahoma"/>
            <family val="2"/>
          </rPr>
          <t>Profit on sale of assets $28.315 million excluded to normalise</t>
        </r>
        <r>
          <rPr>
            <sz val="8"/>
            <rFont val="Tahoma"/>
            <family val="2"/>
          </rPr>
          <t xml:space="preserve">
</t>
        </r>
      </text>
    </comment>
    <comment ref="M62" authorId="1">
      <text>
        <r>
          <rPr>
            <b/>
            <sz val="9"/>
            <rFont val="Tahoma"/>
            <family val="2"/>
          </rPr>
          <t>This includes business devlopment</t>
        </r>
      </text>
    </comment>
    <comment ref="O74" authorId="1">
      <text>
        <r>
          <rPr>
            <b/>
            <sz val="9"/>
            <rFont val="Tahoma"/>
            <family val="2"/>
          </rPr>
          <t>Increase in revaluation reserves via Port Nelson assets $101.996 million</t>
        </r>
      </text>
    </comment>
    <comment ref="P74" authorId="1">
      <text>
        <r>
          <rPr>
            <b/>
            <sz val="9"/>
            <rFont val="Tahoma"/>
            <family val="2"/>
          </rPr>
          <t>Increase in revaluation reserve $65.925 million. Increase in surplus for year $32.326 million</t>
        </r>
      </text>
    </comment>
    <comment ref="R74" authorId="1">
      <text>
        <r>
          <rPr>
            <sz val="9"/>
            <rFont val="Tahoma"/>
            <family val="2"/>
          </rPr>
          <t xml:space="preserve">revalutation gains $151.488 million 
</t>
        </r>
      </text>
    </comment>
    <comment ref="B25" authorId="1">
      <text>
        <r>
          <rPr>
            <b/>
            <sz val="9"/>
            <rFont val="Tahoma"/>
            <family val="2"/>
          </rPr>
          <t>Combined with stormwater</t>
        </r>
        <r>
          <rPr>
            <sz val="9"/>
            <rFont val="Tahoma"/>
            <family val="2"/>
          </rPr>
          <t xml:space="preserve">
</t>
        </r>
      </text>
    </comment>
    <comment ref="F67" authorId="1">
      <text>
        <r>
          <rPr>
            <b/>
            <sz val="9"/>
            <rFont val="Tahoma"/>
            <family val="2"/>
          </rPr>
          <t>Combined with pest control</t>
        </r>
        <r>
          <rPr>
            <sz val="9"/>
            <rFont val="Tahoma"/>
            <family val="2"/>
          </rPr>
          <t xml:space="preserve">
</t>
        </r>
      </text>
    </comment>
    <comment ref="I64" authorId="1">
      <text>
        <r>
          <rPr>
            <b/>
            <sz val="9"/>
            <rFont val="Tahoma"/>
            <family val="2"/>
          </rPr>
          <t>Adjusted for drainage, which is combined with flood protection and river works</t>
        </r>
        <r>
          <rPr>
            <sz val="9"/>
            <rFont val="Tahoma"/>
            <family val="2"/>
          </rPr>
          <t xml:space="preserve">
</t>
        </r>
      </text>
    </comment>
  </commentList>
</comments>
</file>

<file path=xl/comments15.xml><?xml version="1.0" encoding="utf-8"?>
<comments xmlns="http://schemas.openxmlformats.org/spreadsheetml/2006/main">
  <authors>
    <author>Riddhi</author>
  </authors>
  <commentList>
    <comment ref="B68" authorId="0">
      <text>
        <r>
          <rPr>
            <b/>
            <sz val="9"/>
            <rFont val="Tahoma"/>
            <family val="2"/>
          </rPr>
          <t>Combined pest control, drainage, and monitoring. However, over half of expenses were spent on pest control</t>
        </r>
      </text>
    </comment>
    <comment ref="B63" authorId="0">
      <text>
        <r>
          <rPr>
            <b/>
            <sz val="9"/>
            <rFont val="Tahoma"/>
            <family val="2"/>
          </rPr>
          <t>Transport combined with other regional policy and planning.</t>
        </r>
        <r>
          <rPr>
            <sz val="9"/>
            <rFont val="Tahoma"/>
            <family val="2"/>
          </rPr>
          <t xml:space="preserve">
</t>
        </r>
      </text>
    </comment>
    <comment ref="B59" authorId="0">
      <text>
        <r>
          <rPr>
            <sz val="11"/>
            <color theme="1"/>
            <rFont val="Calibri"/>
            <family val="2"/>
          </rPr>
          <t>Net figures of other activities unable to include</t>
        </r>
      </text>
    </comment>
    <comment ref="B72" authorId="0">
      <text>
        <r>
          <rPr>
            <b/>
            <sz val="9"/>
            <rFont val="Tahoma"/>
            <family val="2"/>
          </rPr>
          <t>Unable to include  expenses on other activities since only net values are given</t>
        </r>
        <r>
          <rPr>
            <sz val="9"/>
            <rFont val="Tahoma"/>
            <family val="2"/>
          </rPr>
          <t xml:space="preserve">
</t>
        </r>
      </text>
    </comment>
    <comment ref="E67" authorId="0">
      <text>
        <r>
          <rPr>
            <b/>
            <sz val="9"/>
            <rFont val="Tahoma"/>
            <family val="2"/>
          </rPr>
          <t>Drainage part of environmental monitoring. Cannot separate.</t>
        </r>
        <r>
          <rPr>
            <sz val="9"/>
            <rFont val="Tahoma"/>
            <family val="2"/>
          </rPr>
          <t xml:space="preserve">
</t>
        </r>
      </text>
    </comment>
    <comment ref="E62" authorId="0">
      <text>
        <r>
          <rPr>
            <b/>
            <sz val="9"/>
            <rFont val="Tahoma"/>
            <family val="2"/>
          </rPr>
          <t xml:space="preserve">Includes commercial property
</t>
        </r>
        <r>
          <rPr>
            <sz val="9"/>
            <rFont val="Tahoma"/>
            <family val="2"/>
          </rPr>
          <t xml:space="preserve">
</t>
        </r>
      </text>
    </comment>
    <comment ref="E63" authorId="0">
      <text>
        <r>
          <rPr>
            <b/>
            <sz val="9"/>
            <rFont val="Tahoma"/>
            <family val="2"/>
          </rPr>
          <t>Some of transport combined with environmental monitoring, and other policy devo</t>
        </r>
        <r>
          <rPr>
            <sz val="9"/>
            <rFont val="Tahoma"/>
            <family val="2"/>
          </rPr>
          <t xml:space="preserve">
</t>
        </r>
      </text>
    </comment>
    <comment ref="E65" authorId="0">
      <text>
        <r>
          <rPr>
            <b/>
            <sz val="9"/>
            <rFont val="Tahoma"/>
            <family val="2"/>
          </rPr>
          <t>Water supply under environmental mgmt</t>
        </r>
        <r>
          <rPr>
            <sz val="9"/>
            <rFont val="Tahoma"/>
            <family val="2"/>
          </rPr>
          <t xml:space="preserve">
</t>
        </r>
      </text>
    </comment>
    <comment ref="E64" authorId="0">
      <text>
        <r>
          <rPr>
            <b/>
            <sz val="9"/>
            <rFont val="Tahoma"/>
            <family val="2"/>
          </rPr>
          <t>Sewerage disposal, urban stormwater and drainage under environ monitoring.
Refuse combined with other land operations in pest control</t>
        </r>
        <r>
          <rPr>
            <sz val="9"/>
            <rFont val="Tahoma"/>
            <family val="2"/>
          </rPr>
          <t xml:space="preserve">
</t>
        </r>
      </text>
    </comment>
    <comment ref="E59" authorId="0">
      <text>
        <r>
          <rPr>
            <b/>
            <sz val="9"/>
            <rFont val="Tahoma"/>
            <family val="2"/>
          </rPr>
          <t>Northland Port Dividend $2025</t>
        </r>
        <r>
          <rPr>
            <sz val="9"/>
            <rFont val="Tahoma"/>
            <family val="2"/>
          </rPr>
          <t xml:space="preserve">
</t>
        </r>
      </text>
    </comment>
    <comment ref="E68" authorId="0">
      <text>
        <r>
          <rPr>
            <b/>
            <sz val="9"/>
            <rFont val="Tahoma"/>
            <family val="2"/>
          </rPr>
          <t xml:space="preserve">Includes rural and household wastes </t>
        </r>
        <r>
          <rPr>
            <sz val="9"/>
            <rFont val="Tahoma"/>
            <family val="2"/>
          </rPr>
          <t xml:space="preserve">
</t>
        </r>
      </text>
    </comment>
    <comment ref="G74" authorId="0">
      <text>
        <r>
          <rPr>
            <sz val="9"/>
            <rFont val="Tahoma"/>
            <family val="2"/>
          </rPr>
          <t xml:space="preserve">Net surplus $3.699 million. Movement in minority interests $1.285 million
</t>
        </r>
      </text>
    </comment>
    <comment ref="H59" authorId="0">
      <text>
        <r>
          <rPr>
            <b/>
            <sz val="9"/>
            <rFont val="Tahoma"/>
            <family val="2"/>
          </rPr>
          <t>Nortland Port Corp operating revenue reported as a gross figure (previous reports stated net figures only)</t>
        </r>
      </text>
    </comment>
    <comment ref="B2" authorId="0">
      <text>
        <r>
          <rPr>
            <b/>
            <sz val="9"/>
            <rFont val="Tahoma"/>
            <family val="2"/>
          </rPr>
          <t>Total revenue and total expenditure should be seen as council (not consolidated) figure. This is because data from other activities is given in "net" not "gross" terms, and cannot be included in the totals.</t>
        </r>
      </text>
    </comment>
    <comment ref="I63" authorId="0">
      <text>
        <r>
          <rPr>
            <b/>
            <sz val="9"/>
            <rFont val="Tahoma"/>
            <family val="2"/>
          </rPr>
          <t>Includes tourism, civil defence, education, regional resource plans as well as land transport</t>
        </r>
        <r>
          <rPr>
            <sz val="9"/>
            <rFont val="Tahoma"/>
            <family val="2"/>
          </rPr>
          <t xml:space="preserve">
</t>
        </r>
      </text>
    </comment>
    <comment ref="I2" authorId="0">
      <text>
        <r>
          <rPr>
            <b/>
            <sz val="9"/>
            <rFont val="Tahoma"/>
            <family val="2"/>
          </rPr>
          <t>Overlap between land transport and community expenditure</t>
        </r>
        <r>
          <rPr>
            <sz val="9"/>
            <rFont val="Tahoma"/>
            <family val="2"/>
          </rPr>
          <t xml:space="preserve">
</t>
        </r>
      </text>
    </comment>
    <comment ref="B10" authorId="0">
      <text>
        <r>
          <rPr>
            <b/>
            <sz val="9"/>
            <rFont val="Tahoma"/>
            <family val="2"/>
          </rPr>
          <t>For pest control only</t>
        </r>
        <r>
          <rPr>
            <sz val="9"/>
            <rFont val="Tahoma"/>
            <family val="2"/>
          </rPr>
          <t xml:space="preserve">
</t>
        </r>
      </text>
    </comment>
    <comment ref="K62" authorId="0">
      <text>
        <r>
          <rPr>
            <sz val="9"/>
            <rFont val="Tahoma"/>
            <family val="2"/>
          </rPr>
          <t xml:space="preserve">Includes tourism and regional advocacy
</t>
        </r>
      </text>
    </comment>
    <comment ref="K63" authorId="0">
      <text>
        <r>
          <rPr>
            <b/>
            <sz val="9"/>
            <rFont val="Tahoma"/>
            <family val="2"/>
          </rPr>
          <t>Combined land transport, coastal mgmt and civil defence</t>
        </r>
        <r>
          <rPr>
            <sz val="9"/>
            <rFont val="Tahoma"/>
            <family val="2"/>
          </rPr>
          <t xml:space="preserve">
</t>
        </r>
      </text>
    </comment>
    <comment ref="L62" authorId="0">
      <text>
        <r>
          <rPr>
            <b/>
            <sz val="9"/>
            <rFont val="Tahoma"/>
            <family val="2"/>
          </rPr>
          <t>Maritime combined with environmental monitoring</t>
        </r>
        <r>
          <rPr>
            <sz val="9"/>
            <rFont val="Tahoma"/>
            <family val="2"/>
          </rPr>
          <t xml:space="preserve">
</t>
        </r>
      </text>
    </comment>
    <comment ref="L2" authorId="0">
      <text>
        <r>
          <rPr>
            <b/>
            <sz val="9"/>
            <rFont val="Tahoma"/>
            <family val="2"/>
          </rPr>
          <t>Maritime combined with environmental monitoring</t>
        </r>
        <r>
          <rPr>
            <sz val="9"/>
            <rFont val="Tahoma"/>
            <family val="2"/>
          </rPr>
          <t xml:space="preserve">
</t>
        </r>
      </text>
    </comment>
    <comment ref="L67" authorId="0">
      <text>
        <r>
          <rPr>
            <b/>
            <sz val="9"/>
            <rFont val="Tahoma"/>
            <family val="2"/>
          </rPr>
          <t>Maritime combined</t>
        </r>
        <r>
          <rPr>
            <sz val="9"/>
            <rFont val="Tahoma"/>
            <family val="2"/>
          </rPr>
          <t xml:space="preserve">
</t>
        </r>
      </text>
    </comment>
    <comment ref="N74" authorId="0">
      <text>
        <r>
          <rPr>
            <b/>
            <sz val="9"/>
            <rFont val="Tahoma"/>
            <family val="2"/>
          </rPr>
          <t>Increase in surplus $6.446 million, Increase in asset reserves $3.869 million</t>
        </r>
        <r>
          <rPr>
            <sz val="9"/>
            <rFont val="Tahoma"/>
            <family val="2"/>
          </rPr>
          <t xml:space="preserve">
</t>
        </r>
      </text>
    </comment>
    <comment ref="O74" authorId="0">
      <text>
        <r>
          <rPr>
            <b/>
            <sz val="9"/>
            <rFont val="Tahoma"/>
            <family val="2"/>
          </rPr>
          <t>Increase in land revaluation reserve $32.615 million. Increase in minority interests $11.166 million</t>
        </r>
        <r>
          <rPr>
            <sz val="9"/>
            <rFont val="Tahoma"/>
            <family val="2"/>
          </rPr>
          <t xml:space="preserve">
</t>
        </r>
      </text>
    </comment>
    <comment ref="O13" authorId="0">
      <text>
        <r>
          <rPr>
            <b/>
            <sz val="9"/>
            <rFont val="Tahoma"/>
            <family val="2"/>
          </rPr>
          <t>Environment and land mgmt rates distinguished. Land mgmt included here</t>
        </r>
        <r>
          <rPr>
            <sz val="9"/>
            <rFont val="Tahoma"/>
            <family val="2"/>
          </rPr>
          <t xml:space="preserve">
</t>
        </r>
      </text>
    </comment>
    <comment ref="O5" authorId="0">
      <text>
        <r>
          <rPr>
            <b/>
            <sz val="9"/>
            <rFont val="Tahoma"/>
            <family val="2"/>
          </rPr>
          <t>General rate is now a targetted environmental rate. Former separated rates  is now a land mgmt rate.</t>
        </r>
        <r>
          <rPr>
            <sz val="9"/>
            <rFont val="Tahoma"/>
            <family val="2"/>
          </rPr>
          <t xml:space="preserve">
</t>
        </r>
      </text>
    </comment>
    <comment ref="O62" authorId="0">
      <text>
        <r>
          <rPr>
            <b/>
            <sz val="9"/>
            <rFont val="Tahoma"/>
            <family val="2"/>
          </rPr>
          <t>Includes commercial property, regional and economic development and tourism But also includes cost of democracy</t>
        </r>
        <r>
          <rPr>
            <sz val="9"/>
            <rFont val="Tahoma"/>
            <family val="2"/>
          </rPr>
          <t xml:space="preserve">
</t>
        </r>
      </text>
    </comment>
    <comment ref="P59" authorId="0">
      <text>
        <r>
          <rPr>
            <b/>
            <sz val="9"/>
            <rFont val="Tahoma"/>
            <family val="2"/>
          </rPr>
          <t>Profit on sales of Northland Port Corp shares</t>
        </r>
        <r>
          <rPr>
            <sz val="9"/>
            <rFont val="Tahoma"/>
            <family val="2"/>
          </rPr>
          <t xml:space="preserve">
</t>
        </r>
      </text>
    </comment>
    <comment ref="P74" authorId="0">
      <text>
        <r>
          <rPr>
            <sz val="9"/>
            <rFont val="Tahoma"/>
            <family val="2"/>
          </rPr>
          <t xml:space="preserve">Net surplus in parent interests $24.260 million
</t>
        </r>
      </text>
    </comment>
    <comment ref="Q13" authorId="0">
      <text>
        <r>
          <rPr>
            <b/>
            <sz val="9"/>
            <rFont val="Tahoma"/>
            <family val="2"/>
          </rPr>
          <t>Includes flood mgmt rates</t>
        </r>
        <r>
          <rPr>
            <sz val="9"/>
            <rFont val="Tahoma"/>
            <family val="2"/>
          </rPr>
          <t xml:space="preserve">
</t>
        </r>
      </text>
    </comment>
    <comment ref="Q74" authorId="0">
      <text>
        <r>
          <rPr>
            <sz val="9"/>
            <rFont val="Tahoma"/>
            <family val="2"/>
          </rPr>
          <t>Increase in revaluation reserves (parent interests)
$14.637 million</t>
        </r>
      </text>
    </comment>
    <comment ref="R68" authorId="0">
      <text>
        <r>
          <rPr>
            <b/>
            <sz val="9"/>
            <rFont val="Tahoma"/>
            <family val="2"/>
          </rPr>
          <t>River works and flood control combined. Unable to separate</t>
        </r>
        <r>
          <rPr>
            <sz val="9"/>
            <rFont val="Tahoma"/>
            <family val="2"/>
          </rPr>
          <t xml:space="preserve">
</t>
        </r>
      </text>
    </comment>
    <comment ref="K10" authorId="0">
      <text>
        <r>
          <rPr>
            <sz val="9"/>
            <rFont val="Tahoma"/>
            <family val="2"/>
          </rPr>
          <t xml:space="preserve">Unsure if also used to fund environmental monitoring and pest control
</t>
        </r>
      </text>
    </comment>
  </commentList>
</comments>
</file>

<file path=xl/comments16.xml><?xml version="1.0" encoding="utf-8"?>
<comments xmlns="http://schemas.openxmlformats.org/spreadsheetml/2006/main">
  <authors>
    <author>Riddhi</author>
  </authors>
  <commentList>
    <comment ref="K36" authorId="0">
      <text>
        <r>
          <rPr>
            <b/>
            <sz val="9"/>
            <rFont val="Tahoma"/>
            <family val="2"/>
          </rPr>
          <t>Inlcudes works and services rate, and a special rate in that order</t>
        </r>
        <r>
          <rPr>
            <sz val="9"/>
            <rFont val="Tahoma"/>
            <family val="2"/>
          </rPr>
          <t xml:space="preserve">
</t>
        </r>
      </text>
    </comment>
    <comment ref="K37" authorId="0">
      <text>
        <r>
          <rPr>
            <b/>
            <sz val="9"/>
            <rFont val="Tahoma"/>
            <family val="2"/>
          </rPr>
          <t>Excludes movement in reserves carried out simply to balance the budget</t>
        </r>
        <r>
          <rPr>
            <sz val="9"/>
            <rFont val="Tahoma"/>
            <family val="2"/>
          </rPr>
          <t xml:space="preserve">
</t>
        </r>
      </text>
    </comment>
    <comment ref="K68" authorId="0">
      <text>
        <r>
          <rPr>
            <b/>
            <sz val="9"/>
            <rFont val="Tahoma"/>
            <family val="2"/>
          </rPr>
          <t>Unable to separated waste i.e. Contaminated sites</t>
        </r>
        <r>
          <rPr>
            <sz val="9"/>
            <rFont val="Tahoma"/>
            <family val="2"/>
          </rPr>
          <t xml:space="preserve">
</t>
        </r>
      </text>
    </comment>
    <comment ref="K63" authorId="0">
      <text>
        <r>
          <rPr>
            <b/>
            <sz val="9"/>
            <rFont val="Tahoma"/>
            <family val="2"/>
          </rPr>
          <t>Unable to separate roading and harbour mgmt</t>
        </r>
        <r>
          <rPr>
            <sz val="9"/>
            <rFont val="Tahoma"/>
            <family val="2"/>
          </rPr>
          <t xml:space="preserve">
</t>
        </r>
      </text>
    </comment>
    <comment ref="K62" authorId="0">
      <text>
        <r>
          <rPr>
            <b/>
            <sz val="9"/>
            <rFont val="Tahoma"/>
            <family val="2"/>
          </rPr>
          <t>Includes grad grants, projects for Y2K, start up of pest business unit, and environmental projects</t>
        </r>
        <r>
          <rPr>
            <sz val="9"/>
            <rFont val="Tahoma"/>
            <family val="2"/>
          </rPr>
          <t xml:space="preserve">
</t>
        </r>
      </text>
    </comment>
    <comment ref="K66" authorId="0">
      <text>
        <r>
          <rPr>
            <b/>
            <sz val="9"/>
            <rFont val="Tahoma"/>
            <family val="2"/>
          </rPr>
          <t>catchment works maintenance and enhancement programs</t>
        </r>
        <r>
          <rPr>
            <sz val="9"/>
            <rFont val="Tahoma"/>
            <family val="2"/>
          </rPr>
          <t xml:space="preserve">
</t>
        </r>
      </text>
    </comment>
    <comment ref="M68" authorId="0">
      <text>
        <r>
          <rPr>
            <b/>
            <sz val="9"/>
            <rFont val="Tahoma"/>
            <family val="2"/>
          </rPr>
          <t>Environmental compliance (oil spills, control of animals, plants and pests, consents, contaminated sites, animal health board)</t>
        </r>
      </text>
    </comment>
    <comment ref="N2" authorId="0">
      <text>
        <r>
          <rPr>
            <b/>
            <sz val="9"/>
            <rFont val="Tahoma"/>
            <family val="2"/>
          </rPr>
          <t>Unsure if expenditure is operating, or operating and capital expenditures combined.</t>
        </r>
      </text>
    </comment>
    <comment ref="O2" authorId="0">
      <text>
        <r>
          <rPr>
            <b/>
            <sz val="9"/>
            <rFont val="Tahoma"/>
            <family val="2"/>
          </rPr>
          <t>Exlcuded captial expenditure where possible</t>
        </r>
        <r>
          <rPr>
            <sz val="9"/>
            <rFont val="Tahoma"/>
            <family val="2"/>
          </rPr>
          <t xml:space="preserve">
</t>
        </r>
      </text>
    </comment>
    <comment ref="P2" authorId="0">
      <text>
        <r>
          <rPr>
            <b/>
            <sz val="9"/>
            <rFont val="Tahoma"/>
            <family val="2"/>
          </rPr>
          <t xml:space="preserve">Significant overlap in activity bundles. No category is consistent.
Comm - environ enhancement (also incl parks, trees, wind energy activities, but overlaps with drainage)
Drainage - community safety (floods, emergency mgmt, coast, rivers, harbour duties, contaminated sites)
Transport - community (includes land transport, public information, demoracy, grants, drainage, regional  initiatives like GrowOtago)
Envir monitoring - water,  (schemes, monitoring, river works), air monitoring, resource consents
Pest control - land (sustainability, and pests, dairy issues, monitoring)
</t>
        </r>
      </text>
    </comment>
    <comment ref="P62" authorId="0">
      <text>
        <r>
          <rPr>
            <b/>
            <sz val="9"/>
            <rFont val="Tahoma"/>
            <family val="2"/>
          </rPr>
          <t>Grow Otago projects spanning parks, water, wind energy, tree work</t>
        </r>
        <r>
          <rPr>
            <sz val="9"/>
            <rFont val="Tahoma"/>
            <family val="2"/>
          </rPr>
          <t xml:space="preserve">
</t>
        </r>
      </text>
    </comment>
    <comment ref="P63" authorId="0">
      <text>
        <r>
          <rPr>
            <b/>
            <sz val="9"/>
            <rFont val="Tahoma"/>
            <family val="2"/>
          </rPr>
          <t>Includes drainage schemes, and significant community expenditure</t>
        </r>
        <r>
          <rPr>
            <sz val="9"/>
            <rFont val="Tahoma"/>
            <family val="2"/>
          </rPr>
          <t xml:space="preserve">
</t>
        </r>
      </text>
    </comment>
    <comment ref="R74" authorId="0">
      <text>
        <r>
          <rPr>
            <b/>
            <sz val="9"/>
            <rFont val="Tahoma"/>
            <family val="2"/>
          </rPr>
          <t>Movement in revaluation reserves $76.480 million</t>
        </r>
      </text>
    </comment>
    <comment ref="J15" authorId="0">
      <text>
        <r>
          <rPr>
            <b/>
            <sz val="9"/>
            <rFont val="Tahoma"/>
            <family val="2"/>
          </rPr>
          <t>Adjustment to prior years as approved by Valuer General is excluded</t>
        </r>
        <r>
          <rPr>
            <sz val="9"/>
            <rFont val="Tahoma"/>
            <family val="2"/>
          </rPr>
          <t xml:space="preserve">
</t>
        </r>
      </text>
    </comment>
    <comment ref="B2" authorId="0">
      <text>
        <r>
          <rPr>
            <b/>
            <sz val="9"/>
            <rFont val="Tahoma"/>
            <family val="2"/>
          </rPr>
          <t>Parks  - regional advocacy, civil defence
Transport - land transport
Drainage - river and drainage works, flood emergencies, operations mgmt for rivers and drainage
Pests - land mgmt, agri pest, rabbit and land mgmt, noxious plants
Monitoring: resource evaluation, resource admin (pollution reduction), policy devo</t>
        </r>
        <r>
          <rPr>
            <sz val="9"/>
            <rFont val="Tahoma"/>
            <family val="2"/>
          </rPr>
          <t xml:space="preserve">
</t>
        </r>
      </text>
    </comment>
    <comment ref="B61" authorId="0">
      <text>
        <r>
          <rPr>
            <b/>
            <sz val="9"/>
            <rFont val="Tahoma"/>
            <family val="2"/>
          </rPr>
          <t>Net of deoreciation and return on capital</t>
        </r>
        <r>
          <rPr>
            <sz val="9"/>
            <rFont val="Tahoma"/>
            <family val="2"/>
          </rPr>
          <t xml:space="preserve">
</t>
        </r>
      </text>
    </comment>
    <comment ref="B36" authorId="0">
      <text>
        <r>
          <rPr>
            <b/>
            <sz val="9"/>
            <rFont val="Tahoma"/>
            <family val="2"/>
          </rPr>
          <t>Includes operations mgmt, rivers and drainage</t>
        </r>
        <r>
          <rPr>
            <sz val="9"/>
            <rFont val="Tahoma"/>
            <family val="2"/>
          </rPr>
          <t xml:space="preserve">
</t>
        </r>
      </text>
    </comment>
    <comment ref="D2" authorId="0">
      <text>
        <r>
          <rPr>
            <b/>
            <sz val="9"/>
            <rFont val="Tahoma"/>
            <family val="2"/>
          </rPr>
          <t xml:space="preserve">Roading: land transport
Parks: sundry projects (incl civil defence, flood warnings, democracy, property, groundwater and water monitoring i.e. some ovelap)
Drainage: catchment works and maintainence
Monitoring: resource admin
Pest control: land sustainbility, agri pest, policy devo
</t>
        </r>
      </text>
    </comment>
    <comment ref="D62" authorId="0">
      <text>
        <r>
          <rPr>
            <b/>
            <sz val="9"/>
            <rFont val="Tahoma"/>
            <family val="2"/>
          </rPr>
          <t>Includes councils and committees</t>
        </r>
      </text>
    </comment>
    <comment ref="E63" authorId="0">
      <text>
        <r>
          <rPr>
            <b/>
            <sz val="9"/>
            <rFont val="Tahoma"/>
            <family val="2"/>
          </rPr>
          <t>Habours and tranport combined</t>
        </r>
        <r>
          <rPr>
            <sz val="9"/>
            <rFont val="Tahoma"/>
            <family val="2"/>
          </rPr>
          <t xml:space="preserve">
</t>
        </r>
      </text>
    </comment>
    <comment ref="F67" authorId="0">
      <text>
        <r>
          <rPr>
            <b/>
            <sz val="9"/>
            <rFont val="Tahoma"/>
            <family val="2"/>
          </rPr>
          <t>Incl hydrological and air monitoring</t>
        </r>
        <r>
          <rPr>
            <sz val="9"/>
            <rFont val="Tahoma"/>
            <family val="2"/>
          </rPr>
          <t xml:space="preserve">
</t>
        </r>
      </text>
    </comment>
    <comment ref="F62" authorId="0">
      <text>
        <r>
          <rPr>
            <sz val="9"/>
            <rFont val="Tahoma"/>
            <family val="2"/>
          </rPr>
          <t xml:space="preserve">Costs of democracy separated out. Only incl civil defence, emergency flood mgmt, and nursery
</t>
        </r>
      </text>
    </comment>
    <comment ref="G36" authorId="0">
      <text>
        <r>
          <rPr>
            <b/>
            <sz val="9"/>
            <rFont val="Tahoma"/>
            <family val="2"/>
          </rPr>
          <t>Incl works and services rates, as well as prior special rates</t>
        </r>
        <r>
          <rPr>
            <sz val="9"/>
            <rFont val="Tahoma"/>
            <family val="2"/>
          </rPr>
          <t xml:space="preserve">
</t>
        </r>
      </text>
    </comment>
    <comment ref="G62" authorId="0">
      <text>
        <r>
          <rPr>
            <b/>
            <sz val="9"/>
            <rFont val="Tahoma"/>
            <family val="2"/>
          </rPr>
          <t>Combined with collection of agri chemical and aerial photography</t>
        </r>
        <r>
          <rPr>
            <sz val="9"/>
            <rFont val="Tahoma"/>
            <family val="2"/>
          </rPr>
          <t xml:space="preserve">
</t>
        </r>
      </text>
    </comment>
    <comment ref="J62" authorId="0">
      <text>
        <r>
          <rPr>
            <b/>
            <sz val="9"/>
            <rFont val="Tahoma"/>
            <family val="2"/>
          </rPr>
          <t>150 anniversry events combined</t>
        </r>
        <r>
          <rPr>
            <sz val="9"/>
            <rFont val="Tahoma"/>
            <family val="2"/>
          </rPr>
          <t xml:space="preserve">
</t>
        </r>
      </text>
    </comment>
  </commentList>
</comments>
</file>

<file path=xl/comments17.xml><?xml version="1.0" encoding="utf-8"?>
<comments xmlns="http://schemas.openxmlformats.org/spreadsheetml/2006/main">
  <authors>
    <author>Riddhi</author>
  </authors>
  <commentList>
    <comment ref="B43" authorId="0">
      <text>
        <r>
          <rPr>
            <b/>
            <sz val="9"/>
            <rFont val="Tahoma"/>
            <family val="2"/>
          </rPr>
          <t>Inlcudes resource study grants, resource mgmt income, and laboratory revenue</t>
        </r>
        <r>
          <rPr>
            <sz val="9"/>
            <rFont val="Tahoma"/>
            <family val="2"/>
          </rPr>
          <t xml:space="preserve">
</t>
        </r>
      </text>
    </comment>
    <comment ref="B49" authorId="0">
      <text>
        <r>
          <rPr>
            <b/>
            <sz val="9"/>
            <rFont val="Tahoma"/>
            <family val="2"/>
          </rPr>
          <t xml:space="preserve">includes pest destruction income, and noxious plant contributions
</t>
        </r>
        <r>
          <rPr>
            <sz val="9"/>
            <rFont val="Tahoma"/>
            <family val="2"/>
          </rPr>
          <t xml:space="preserve">
</t>
        </r>
      </text>
    </comment>
    <comment ref="B67" authorId="0">
      <text>
        <r>
          <rPr>
            <b/>
            <sz val="9"/>
            <rFont val="Tahoma"/>
            <family val="2"/>
          </rPr>
          <t>Unable to include some resource planning activities</t>
        </r>
      </text>
    </comment>
    <comment ref="B62" authorId="0">
      <text>
        <r>
          <rPr>
            <b/>
            <sz val="9"/>
            <rFont val="Tahoma"/>
            <family val="2"/>
          </rPr>
          <t>Unable to include economic expenditure, parks, tourism and regional advocacy</t>
        </r>
        <r>
          <rPr>
            <sz val="9"/>
            <rFont val="Tahoma"/>
            <family val="2"/>
          </rPr>
          <t xml:space="preserve">
</t>
        </r>
      </text>
    </comment>
    <comment ref="D67" authorId="0">
      <text>
        <r>
          <rPr>
            <b/>
            <sz val="9"/>
            <rFont val="Tahoma"/>
            <family val="2"/>
          </rPr>
          <t>Includes resource planning as distinct from regional planning</t>
        </r>
        <r>
          <rPr>
            <sz val="9"/>
            <rFont val="Tahoma"/>
            <family val="2"/>
          </rPr>
          <t xml:space="preserve">
</t>
        </r>
      </text>
    </comment>
    <comment ref="D2" authorId="0">
      <text>
        <r>
          <rPr>
            <b/>
            <sz val="9"/>
            <rFont val="Tahoma"/>
            <family val="2"/>
          </rPr>
          <t>Consolidated figures reported</t>
        </r>
        <r>
          <rPr>
            <sz val="9"/>
            <rFont val="Tahoma"/>
            <family val="2"/>
          </rPr>
          <t xml:space="preserve">
</t>
        </r>
      </text>
    </comment>
    <comment ref="G74" authorId="0">
      <text>
        <r>
          <rPr>
            <sz val="9"/>
            <rFont val="Tahoma"/>
            <family val="2"/>
          </rPr>
          <t xml:space="preserve">Conlidated figure for equity reported
</t>
        </r>
      </text>
    </comment>
    <comment ref="H67" authorId="0">
      <text>
        <r>
          <rPr>
            <b/>
            <sz val="9"/>
            <rFont val="Tahoma"/>
            <family val="2"/>
          </rPr>
          <t>Inclues 24 hr response system - inspection of rivers, pollution service, complaince issues</t>
        </r>
        <r>
          <rPr>
            <sz val="9"/>
            <rFont val="Tahoma"/>
            <family val="2"/>
          </rPr>
          <t xml:space="preserve">
</t>
        </r>
      </text>
    </comment>
    <comment ref="I59" authorId="0">
      <text>
        <r>
          <rPr>
            <b/>
            <sz val="9"/>
            <rFont val="Tahoma"/>
            <family val="2"/>
          </rPr>
          <t>Less revenue from discontinued activities, for consolidated group</t>
        </r>
        <r>
          <rPr>
            <sz val="9"/>
            <rFont val="Tahoma"/>
            <family val="2"/>
          </rPr>
          <t xml:space="preserve">
</t>
        </r>
      </text>
    </comment>
    <comment ref="I49" authorId="0">
      <text>
        <r>
          <rPr>
            <b/>
            <sz val="9"/>
            <rFont val="Tahoma"/>
            <family val="2"/>
          </rPr>
          <t>Levies and contributions to Bovine Tb control  $2307k</t>
        </r>
      </text>
    </comment>
    <comment ref="K2" authorId="0">
      <text>
        <r>
          <rPr>
            <b/>
            <sz val="9"/>
            <rFont val="Tahoma"/>
            <family val="2"/>
          </rPr>
          <t>Environment Southland</t>
        </r>
        <r>
          <rPr>
            <sz val="9"/>
            <rFont val="Tahoma"/>
            <family val="2"/>
          </rPr>
          <t xml:space="preserve">
</t>
        </r>
      </text>
    </comment>
    <comment ref="J62" authorId="0">
      <text>
        <r>
          <rPr>
            <b/>
            <sz val="9"/>
            <rFont val="Tahoma"/>
            <family val="2"/>
          </rPr>
          <t>Civil defence and hazards combined, marine oils spills and harbours incl.</t>
        </r>
        <r>
          <rPr>
            <sz val="9"/>
            <rFont val="Tahoma"/>
            <family val="2"/>
          </rPr>
          <t xml:space="preserve">
</t>
        </r>
      </text>
    </comment>
    <comment ref="L2" authorId="0">
      <text>
        <r>
          <rPr>
            <b/>
            <sz val="9"/>
            <rFont val="Tahoma"/>
            <family val="2"/>
          </rPr>
          <t xml:space="preserve"> No breakdown of revenue by activity sinnce all are data is grouped as air, water, land  coast, combined, represenation. </t>
        </r>
        <r>
          <rPr>
            <sz val="9"/>
            <rFont val="Tahoma"/>
            <family val="2"/>
          </rPr>
          <t xml:space="preserve">
</t>
        </r>
      </text>
    </comment>
    <comment ref="L67" authorId="0">
      <text>
        <r>
          <rPr>
            <sz val="9"/>
            <rFont val="Tahoma"/>
            <family val="2"/>
          </rPr>
          <t xml:space="preserve">May be some overlap between transport, environmental information, and drainage
</t>
        </r>
      </text>
    </comment>
    <comment ref="Q2" authorId="0">
      <text>
        <r>
          <rPr>
            <b/>
            <sz val="9"/>
            <rFont val="Tahoma"/>
            <family val="2"/>
          </rPr>
          <t>Full expenditure break down given</t>
        </r>
      </text>
    </comment>
    <comment ref="Q13" authorId="0">
      <text>
        <r>
          <rPr>
            <b/>
            <sz val="9"/>
            <rFont val="Tahoma"/>
            <family val="2"/>
          </rPr>
          <t>Incl southern pest eradication rate</t>
        </r>
      </text>
    </comment>
  </commentList>
</comments>
</file>

<file path=xl/comments18.xml><?xml version="1.0" encoding="utf-8"?>
<comments xmlns="http://schemas.openxmlformats.org/spreadsheetml/2006/main">
  <authors>
    <author>Riddhi</author>
  </authors>
  <commentList>
    <comment ref="G63" authorId="0">
      <text>
        <r>
          <rPr>
            <b/>
            <sz val="9"/>
            <rFont val="Tahoma"/>
            <family val="2"/>
          </rPr>
          <t>Transport and harbour combined</t>
        </r>
        <r>
          <rPr>
            <sz val="9"/>
            <rFont val="Tahoma"/>
            <family val="2"/>
          </rPr>
          <t xml:space="preserve">
</t>
        </r>
      </text>
    </comment>
    <comment ref="G74" authorId="0">
      <text>
        <r>
          <rPr>
            <b/>
            <sz val="9"/>
            <rFont val="Tahoma"/>
            <family val="2"/>
          </rPr>
          <t>net surplus $6.547 million</t>
        </r>
      </text>
    </comment>
    <comment ref="L2" authorId="0">
      <text>
        <r>
          <rPr>
            <b/>
            <sz val="9"/>
            <rFont val="Tahoma"/>
            <family val="2"/>
          </rPr>
          <t>All figures from 2002 report</t>
        </r>
      </text>
    </comment>
    <comment ref="M62" authorId="0">
      <text>
        <r>
          <rPr>
            <b/>
            <sz val="9"/>
            <rFont val="Tahoma"/>
            <family val="2"/>
          </rPr>
          <t>No expenditure on tourism. $9903 on arts, rec, and heritage</t>
        </r>
      </text>
    </comment>
    <comment ref="P2" authorId="0">
      <text>
        <r>
          <rPr>
            <b/>
            <sz val="9"/>
            <rFont val="Tahoma"/>
            <family val="2"/>
          </rPr>
          <t>All figures taken from 2006 report</t>
        </r>
        <r>
          <rPr>
            <sz val="9"/>
            <rFont val="Tahoma"/>
            <family val="2"/>
          </rPr>
          <t xml:space="preserve">
</t>
        </r>
      </text>
    </comment>
    <comment ref="P74" authorId="0">
      <text>
        <r>
          <rPr>
            <b/>
            <sz val="9"/>
            <rFont val="Tahoma"/>
            <family val="2"/>
          </rPr>
          <t>Increase in revaluation reserves $20.455 million</t>
        </r>
        <r>
          <rPr>
            <sz val="9"/>
            <rFont val="Tahoma"/>
            <family val="2"/>
          </rPr>
          <t xml:space="preserve">
</t>
        </r>
      </text>
    </comment>
  </commentList>
</comments>
</file>

<file path=xl/comments19.xml><?xml version="1.0" encoding="utf-8"?>
<comments xmlns="http://schemas.openxmlformats.org/spreadsheetml/2006/main">
  <authors>
    <author>Dave Mare</author>
    <author>Library</author>
    <author>Riddhi</author>
    <author>riddhi.gupta</author>
  </authors>
  <commentList>
    <comment ref="E2" authorId="0">
      <text>
        <r>
          <rPr>
            <b/>
            <sz val="8"/>
            <rFont val="Tahoma"/>
            <family val="2"/>
          </rPr>
          <t>refuse &amp; sewerage revenue figures are combined</t>
        </r>
        <r>
          <rPr>
            <sz val="8"/>
            <rFont val="Tahoma"/>
            <family val="2"/>
          </rPr>
          <t xml:space="preserve">
</t>
        </r>
      </text>
    </comment>
    <comment ref="L7" authorId="1">
      <text>
        <r>
          <rPr>
            <b/>
            <sz val="8"/>
            <rFont val="Tahoma"/>
            <family val="2"/>
          </rPr>
          <t>Rates &amp; charges</t>
        </r>
        <r>
          <rPr>
            <sz val="8"/>
            <rFont val="Tahoma"/>
            <family val="2"/>
          </rPr>
          <t xml:space="preserve">
unable to separate</t>
        </r>
      </text>
    </comment>
    <comment ref="D8" authorId="0">
      <text>
        <r>
          <rPr>
            <b/>
            <sz val="8"/>
            <rFont val="Tahoma"/>
            <family val="2"/>
          </rPr>
          <t>unsure if sewerage or may include some refuse or stormwater</t>
        </r>
        <r>
          <rPr>
            <sz val="8"/>
            <rFont val="Tahoma"/>
            <family val="2"/>
          </rPr>
          <t xml:space="preserve">
</t>
        </r>
      </text>
    </comment>
    <comment ref="L18" authorId="1">
      <text>
        <r>
          <rPr>
            <b/>
            <sz val="8"/>
            <rFont val="Tahoma"/>
            <family val="2"/>
          </rPr>
          <t>Rates &amp; charges</t>
        </r>
        <r>
          <rPr>
            <sz val="8"/>
            <rFont val="Tahoma"/>
            <family val="2"/>
          </rPr>
          <t xml:space="preserve">
unable to separate</t>
        </r>
      </text>
    </comment>
    <comment ref="D24" authorId="0">
      <text>
        <r>
          <rPr>
            <b/>
            <sz val="8"/>
            <rFont val="Tahoma"/>
            <family val="2"/>
          </rPr>
          <t>unsure if sewerage or may include some refuse or stormwater</t>
        </r>
        <r>
          <rPr>
            <sz val="8"/>
            <rFont val="Tahoma"/>
            <family val="2"/>
          </rPr>
          <t xml:space="preserve">
</t>
        </r>
      </text>
    </comment>
    <comment ref="E64" authorId="0">
      <text>
        <r>
          <rPr>
            <b/>
            <sz val="8"/>
            <rFont val="Tahoma"/>
            <family val="2"/>
          </rPr>
          <t>riverworks included</t>
        </r>
        <r>
          <rPr>
            <sz val="8"/>
            <rFont val="Tahoma"/>
            <family val="2"/>
          </rPr>
          <t xml:space="preserve">
</t>
        </r>
      </text>
    </comment>
    <comment ref="G74" authorId="1">
      <text>
        <r>
          <rPr>
            <b/>
            <sz val="8"/>
            <rFont val="Tahoma"/>
            <family val="2"/>
          </rPr>
          <t>asset revaluations of $36 milion included</t>
        </r>
        <r>
          <rPr>
            <sz val="8"/>
            <rFont val="Tahoma"/>
            <family val="2"/>
          </rPr>
          <t xml:space="preserve">
</t>
        </r>
      </text>
    </comment>
    <comment ref="J74" authorId="1">
      <text>
        <r>
          <rPr>
            <b/>
            <sz val="8"/>
            <rFont val="Tahoma"/>
            <family val="2"/>
          </rPr>
          <t>asset revaluation loss of $35 million</t>
        </r>
        <r>
          <rPr>
            <sz val="8"/>
            <rFont val="Tahoma"/>
            <family val="2"/>
          </rPr>
          <t xml:space="preserve">
</t>
        </r>
      </text>
    </comment>
    <comment ref="L74" authorId="1">
      <text>
        <r>
          <rPr>
            <b/>
            <sz val="8"/>
            <rFont val="Tahoma"/>
            <family val="2"/>
          </rPr>
          <t>increase in asset revaluation reserve of $109 million</t>
        </r>
        <r>
          <rPr>
            <sz val="8"/>
            <rFont val="Tahoma"/>
            <family val="2"/>
          </rPr>
          <t xml:space="preserve">
</t>
        </r>
      </text>
    </comment>
    <comment ref="O74" authorId="2">
      <text>
        <r>
          <rPr>
            <b/>
            <sz val="9"/>
            <rFont val="Tahoma"/>
            <family val="2"/>
          </rPr>
          <t>Increase in net revaluation reserves $98.4 milliion</t>
        </r>
        <r>
          <rPr>
            <sz val="9"/>
            <rFont val="Tahoma"/>
            <family val="2"/>
          </rPr>
          <t xml:space="preserve">
</t>
        </r>
      </text>
    </comment>
    <comment ref="Q74" authorId="3">
      <text>
        <r>
          <rPr>
            <b/>
            <sz val="8"/>
            <rFont val="Tahoma"/>
            <family val="2"/>
          </rPr>
          <t xml:space="preserve">increase in revaluation reserves $116.510 million
</t>
        </r>
        <r>
          <rPr>
            <sz val="8"/>
            <rFont val="Tahoma"/>
            <family val="2"/>
          </rPr>
          <t xml:space="preserve">
</t>
        </r>
      </text>
    </comment>
    <comment ref="R74" authorId="3">
      <text>
        <r>
          <rPr>
            <b/>
            <sz val="8"/>
            <rFont val="Tahoma"/>
            <family val="2"/>
          </rPr>
          <t>Revaluation gains $44.999 million; net surplus for the year $11.536 million</t>
        </r>
        <r>
          <rPr>
            <sz val="8"/>
            <rFont val="Tahoma"/>
            <family val="2"/>
          </rPr>
          <t xml:space="preserve">
</t>
        </r>
      </text>
    </comment>
    <comment ref="C67" authorId="2">
      <text>
        <r>
          <rPr>
            <b/>
            <sz val="9"/>
            <rFont val="Tahoma"/>
            <family val="2"/>
          </rPr>
          <t>Many monitoring services dispersed within water, sewerage, refuse, and council (not just resource) planning</t>
        </r>
        <r>
          <rPr>
            <sz val="9"/>
            <rFont val="Tahoma"/>
            <family val="2"/>
          </rPr>
          <t xml:space="preserve">
</t>
        </r>
      </text>
    </comment>
    <comment ref="C66" authorId="2">
      <text>
        <r>
          <rPr>
            <b/>
            <sz val="9"/>
            <rFont val="Tahoma"/>
            <family val="2"/>
          </rPr>
          <t>Drainage functions, such a flood control, dispersed within water, and stormwater, and technical and engineering services</t>
        </r>
        <r>
          <rPr>
            <sz val="9"/>
            <rFont val="Tahoma"/>
            <family val="2"/>
          </rPr>
          <t xml:space="preserve">
</t>
        </r>
      </text>
    </comment>
    <comment ref="C68" authorId="2">
      <text>
        <r>
          <rPr>
            <b/>
            <sz val="9"/>
            <rFont val="Tahoma"/>
            <family val="2"/>
          </rPr>
          <t>Pest control dispersed within rural services, parks and recreation</t>
        </r>
        <r>
          <rPr>
            <sz val="9"/>
            <rFont val="Tahoma"/>
            <family val="2"/>
          </rPr>
          <t xml:space="preserve">
</t>
        </r>
      </text>
    </comment>
    <comment ref="O51" authorId="2">
      <text>
        <r>
          <rPr>
            <b/>
            <sz val="9"/>
            <rFont val="Tahoma"/>
            <family val="2"/>
          </rPr>
          <t>Adjusted for the cost of land mgmt</t>
        </r>
        <r>
          <rPr>
            <sz val="9"/>
            <rFont val="Tahoma"/>
            <family val="2"/>
          </rPr>
          <t xml:space="preserve">
</t>
        </r>
      </text>
    </comment>
    <comment ref="C64" authorId="2">
      <text>
        <r>
          <rPr>
            <b/>
            <sz val="9"/>
            <rFont val="Tahoma"/>
            <family val="2"/>
          </rPr>
          <t>Adjusted to the cost of river works</t>
        </r>
      </text>
    </comment>
    <comment ref="S48" authorId="2">
      <text>
        <r>
          <rPr>
            <b/>
            <sz val="9"/>
            <rFont val="Tahoma"/>
            <family val="2"/>
          </rPr>
          <t>Includes partial rate from targetted rates initally levied for river control</t>
        </r>
        <r>
          <rPr>
            <sz val="9"/>
            <rFont val="Tahoma"/>
            <family val="2"/>
          </rPr>
          <t xml:space="preserve">
</t>
        </r>
      </text>
    </comment>
  </commentList>
</comments>
</file>

<file path=xl/comments20.xml><?xml version="1.0" encoding="utf-8"?>
<comments xmlns="http://schemas.openxmlformats.org/spreadsheetml/2006/main">
  <authors>
    <author>Riddhi</author>
  </authors>
  <commentList>
    <comment ref="D2" authorId="0">
      <text>
        <r>
          <rPr>
            <b/>
            <sz val="9"/>
            <rFont val="Tahoma"/>
            <family val="2"/>
          </rPr>
          <t>Change from Waikato RC to Environment Waikato</t>
        </r>
        <r>
          <rPr>
            <sz val="9"/>
            <rFont val="Tahoma"/>
            <family val="2"/>
          </rPr>
          <t xml:space="preserve">
</t>
        </r>
      </text>
    </comment>
    <comment ref="J49" authorId="0">
      <text>
        <r>
          <rPr>
            <b/>
            <sz val="9"/>
            <rFont val="Tahoma"/>
            <family val="2"/>
          </rPr>
          <t>Government grants</t>
        </r>
        <r>
          <rPr>
            <sz val="9"/>
            <rFont val="Tahoma"/>
            <family val="2"/>
          </rPr>
          <t xml:space="preserve">
</t>
        </r>
      </text>
    </comment>
    <comment ref="L62" authorId="0">
      <text>
        <r>
          <rPr>
            <b/>
            <sz val="9"/>
            <rFont val="Tahoma"/>
            <family val="2"/>
          </rPr>
          <t>Now includes navigation safety</t>
        </r>
        <r>
          <rPr>
            <sz val="9"/>
            <rFont val="Tahoma"/>
            <family val="2"/>
          </rPr>
          <t xml:space="preserve">
</t>
        </r>
      </text>
    </comment>
    <comment ref="H67" authorId="0">
      <text>
        <r>
          <rPr>
            <b/>
            <sz val="9"/>
            <rFont val="Tahoma"/>
            <family val="2"/>
          </rPr>
          <t>New bundles - reousrce use and resource information</t>
        </r>
      </text>
    </comment>
    <comment ref="G66" authorId="0">
      <text>
        <r>
          <rPr>
            <b/>
            <sz val="9"/>
            <rFont val="Tahoma"/>
            <family val="2"/>
          </rPr>
          <t>New bundle asset management</t>
        </r>
        <r>
          <rPr>
            <sz val="9"/>
            <rFont val="Tahoma"/>
            <family val="2"/>
          </rPr>
          <t xml:space="preserve">
</t>
        </r>
      </text>
    </comment>
    <comment ref="G68" authorId="0">
      <text>
        <r>
          <rPr>
            <b/>
            <sz val="9"/>
            <rFont val="Tahoma"/>
            <family val="2"/>
          </rPr>
          <t>New bundle bio security - unable to incorporate land mgmt</t>
        </r>
        <r>
          <rPr>
            <sz val="9"/>
            <rFont val="Tahoma"/>
            <family val="2"/>
          </rPr>
          <t xml:space="preserve">
</t>
        </r>
      </text>
    </comment>
    <comment ref="M2" authorId="0">
      <text>
        <r>
          <rPr>
            <b/>
            <sz val="9"/>
            <rFont val="Tahoma"/>
            <family val="2"/>
          </rPr>
          <t>Fragmentation of bundled activities. 
Refuse - toxic waste mgmt (prev under "monitoring")
Drainage - drainage and flood control
Monitoring - inland waters, air, coast envi
Pests and land - biosecurity and land/soils
Transport - Transport
Comm - Economy, and regional safety
Other - geothermal, govt and democracy</t>
        </r>
      </text>
    </comment>
    <comment ref="M66" authorId="0">
      <text>
        <r>
          <rPr>
            <b/>
            <sz val="9"/>
            <rFont val="Tahoma"/>
            <family val="2"/>
          </rPr>
          <t>New activity bundles. Some river control expenses absorbed by coast envi and inland waters.</t>
        </r>
        <r>
          <rPr>
            <sz val="9"/>
            <rFont val="Tahoma"/>
            <family val="2"/>
          </rPr>
          <t xml:space="preserve">
</t>
        </r>
      </text>
    </comment>
    <comment ref="M61" authorId="0">
      <text>
        <r>
          <rPr>
            <b/>
            <sz val="9"/>
            <rFont val="Tahoma"/>
            <family val="2"/>
          </rPr>
          <t>After add back of notional interest</t>
        </r>
        <r>
          <rPr>
            <sz val="9"/>
            <rFont val="Tahoma"/>
            <family val="2"/>
          </rPr>
          <t xml:space="preserve">
</t>
        </r>
      </text>
    </comment>
    <comment ref="P2" authorId="0">
      <text>
        <r>
          <rPr>
            <b/>
            <sz val="9"/>
            <rFont val="Tahoma"/>
            <family val="2"/>
          </rPr>
          <t>Change in acitvity bundles
Refuse - waste and contaminated sites
Drainage - river systems
Monitoring - inland waters, coastal
Pest Control - biosecurity, land and soils
Transport - transport
Comm - economy, navigation safety, emergency mgmt
Other - air, climate change, energy, geothermal, biodiversity, governance and democracy
REVENUE includes investment income</t>
        </r>
      </text>
    </comment>
    <comment ref="P5" authorId="0">
      <text>
        <r>
          <rPr>
            <b/>
            <sz val="9"/>
            <rFont val="Tahoma"/>
            <family val="2"/>
          </rPr>
          <t>Explicitly includes UAC</t>
        </r>
      </text>
    </comment>
    <comment ref="P66" authorId="0">
      <text>
        <r>
          <rPr>
            <b/>
            <sz val="9"/>
            <rFont val="Tahoma"/>
            <family val="2"/>
          </rPr>
          <t>Site specific hazards such as river flooding now grouped with emergency mgmt in community expenses</t>
        </r>
        <r>
          <rPr>
            <sz val="9"/>
            <rFont val="Tahoma"/>
            <family val="2"/>
          </rPr>
          <t xml:space="preserve">
</t>
        </r>
      </text>
    </comment>
    <comment ref="R42" authorId="0">
      <text>
        <r>
          <rPr>
            <b/>
            <sz val="9"/>
            <rFont val="Tahoma"/>
            <family val="2"/>
          </rPr>
          <t>Includes new rate for permitted activity monitoring. Separated rates of previous years renamed protecting lake taupo, and is also incl for consistency</t>
        </r>
      </text>
    </comment>
    <comment ref="R2" authorId="0">
      <text>
        <r>
          <rPr>
            <b/>
            <sz val="9"/>
            <rFont val="Tahoma"/>
            <family val="2"/>
          </rPr>
          <t>Cannot separate general rates from operating revenue</t>
        </r>
        <r>
          <rPr>
            <sz val="9"/>
            <rFont val="Tahoma"/>
            <family val="2"/>
          </rPr>
          <t xml:space="preserve">
</t>
        </r>
      </text>
    </comment>
    <comment ref="R62" authorId="0">
      <text>
        <r>
          <rPr>
            <b/>
            <sz val="9"/>
            <rFont val="Tahoma"/>
            <family val="2"/>
          </rPr>
          <t>Cannot extract economic expenditure from other council activities</t>
        </r>
      </text>
    </comment>
    <comment ref="R31" authorId="0">
      <text>
        <r>
          <rPr>
            <b/>
            <sz val="9"/>
            <rFont val="Tahoma"/>
            <family val="2"/>
          </rPr>
          <t>Includes general rates</t>
        </r>
      </text>
    </comment>
    <comment ref="R37" authorId="0">
      <text>
        <r>
          <rPr>
            <b/>
            <sz val="9"/>
            <rFont val="Tahoma"/>
            <family val="2"/>
          </rPr>
          <t>Includes general rates</t>
        </r>
      </text>
    </comment>
    <comment ref="R43" authorId="0">
      <text>
        <r>
          <rPr>
            <b/>
            <sz val="9"/>
            <rFont val="Tahoma"/>
            <family val="2"/>
          </rPr>
          <t>Includes general rates</t>
        </r>
      </text>
    </comment>
    <comment ref="R49" authorId="0">
      <text>
        <r>
          <rPr>
            <b/>
            <sz val="9"/>
            <rFont val="Tahoma"/>
            <family val="2"/>
          </rPr>
          <t>Includes general rates</t>
        </r>
      </text>
    </comment>
    <comment ref="S74" authorId="0">
      <text>
        <r>
          <rPr>
            <b/>
            <sz val="9"/>
            <rFont val="Tahoma"/>
            <family val="2"/>
          </rPr>
          <t>Revaluation gains $190636</t>
        </r>
        <r>
          <rPr>
            <sz val="9"/>
            <rFont val="Tahoma"/>
            <family val="2"/>
          </rPr>
          <t xml:space="preserve">
</t>
        </r>
      </text>
    </comment>
  </commentList>
</comments>
</file>

<file path=xl/comments21.xml><?xml version="1.0" encoding="utf-8"?>
<comments xmlns="http://schemas.openxmlformats.org/spreadsheetml/2006/main">
  <authors>
    <author>Riddhi</author>
  </authors>
  <commentList>
    <comment ref="B74" authorId="0">
      <text>
        <r>
          <rPr>
            <b/>
            <sz val="9"/>
            <rFont val="Tahoma"/>
            <family val="2"/>
          </rPr>
          <t>Rate payers funds. Figure appears too small.</t>
        </r>
      </text>
    </comment>
    <comment ref="B62" authorId="0">
      <text>
        <r>
          <rPr>
            <b/>
            <sz val="9"/>
            <rFont val="Tahoma"/>
            <family val="2"/>
          </rPr>
          <t>Civil defence, regionalparks, recreation, harbours</t>
        </r>
      </text>
    </comment>
    <comment ref="B66" authorId="0">
      <text>
        <r>
          <rPr>
            <b/>
            <sz val="9"/>
            <rFont val="Tahoma"/>
            <family val="2"/>
          </rPr>
          <t>Some expenditure on soil conservation</t>
        </r>
        <r>
          <rPr>
            <sz val="9"/>
            <rFont val="Tahoma"/>
            <family val="2"/>
          </rPr>
          <t xml:space="preserve">
</t>
        </r>
      </text>
    </comment>
    <comment ref="B7" authorId="0">
      <text>
        <r>
          <rPr>
            <b/>
            <sz val="9"/>
            <rFont val="Tahoma"/>
            <family val="2"/>
          </rPr>
          <t>Technically a levy</t>
        </r>
        <r>
          <rPr>
            <sz val="9"/>
            <rFont val="Tahoma"/>
            <family val="2"/>
          </rPr>
          <t xml:space="preserve">
</t>
        </r>
      </text>
    </comment>
    <comment ref="B68" authorId="0">
      <text>
        <r>
          <rPr>
            <b/>
            <sz val="9"/>
            <rFont val="Tahoma"/>
            <family val="2"/>
          </rPr>
          <t>Does not incl sustainable land mgmt</t>
        </r>
        <r>
          <rPr>
            <sz val="9"/>
            <rFont val="Tahoma"/>
            <family val="2"/>
          </rPr>
          <t xml:space="preserve">
</t>
        </r>
      </text>
    </comment>
    <comment ref="D42" authorId="0">
      <text>
        <r>
          <rPr>
            <b/>
            <sz val="9"/>
            <rFont val="Tahoma"/>
            <family val="2"/>
          </rPr>
          <t>Dispersed among many activities taken in Wairarapa - resource mgmt, pest control, drainage, water</t>
        </r>
        <r>
          <rPr>
            <sz val="9"/>
            <rFont val="Tahoma"/>
            <family val="2"/>
          </rPr>
          <t xml:space="preserve">
</t>
        </r>
      </text>
    </comment>
    <comment ref="K7" authorId="0">
      <text>
        <r>
          <rPr>
            <b/>
            <sz val="9"/>
            <rFont val="Tahoma"/>
            <family val="2"/>
          </rPr>
          <t>Differences between separates rates used for sub total, and separates rates for actitivties is because one separated rate may be used to fund two or more activities</t>
        </r>
      </text>
    </comment>
    <comment ref="N2" authorId="0">
      <text>
        <r>
          <rPr>
            <b/>
            <sz val="9"/>
            <rFont val="Tahoma"/>
            <family val="2"/>
          </rPr>
          <t>Renamed Greater Wellington Regional Council</t>
        </r>
        <r>
          <rPr>
            <sz val="9"/>
            <rFont val="Tahoma"/>
            <family val="2"/>
          </rPr>
          <t xml:space="preserve">
</t>
        </r>
      </text>
    </comment>
    <comment ref="R74" authorId="0">
      <text>
        <r>
          <rPr>
            <sz val="9"/>
            <rFont val="Tahoma"/>
            <family val="2"/>
          </rPr>
          <t xml:space="preserve">Asset revaluation $53.829 million increase,
</t>
        </r>
      </text>
    </comment>
  </commentList>
</comments>
</file>

<file path=xl/comments22.xml><?xml version="1.0" encoding="utf-8"?>
<comments xmlns="http://schemas.openxmlformats.org/spreadsheetml/2006/main">
  <authors>
    <author>Riddhi</author>
  </authors>
  <commentList>
    <comment ref="B68" authorId="0">
      <text>
        <r>
          <rPr>
            <b/>
            <sz val="9"/>
            <rFont val="Tahoma"/>
            <family val="2"/>
          </rPr>
          <t xml:space="preserve">Pest control and plant pest </t>
        </r>
      </text>
    </comment>
    <comment ref="B67" authorId="0">
      <text>
        <r>
          <rPr>
            <b/>
            <sz val="9"/>
            <rFont val="Tahoma"/>
            <family val="2"/>
          </rPr>
          <t>Consents, resource mgmt, hazards</t>
        </r>
        <r>
          <rPr>
            <sz val="9"/>
            <rFont val="Tahoma"/>
            <family val="2"/>
          </rPr>
          <t xml:space="preserve">
</t>
        </r>
      </text>
    </comment>
    <comment ref="B66" authorId="0">
      <text>
        <r>
          <rPr>
            <b/>
            <sz val="9"/>
            <rFont val="Tahoma"/>
            <family val="2"/>
          </rPr>
          <t xml:space="preserve">Works and drainage, floods
</t>
        </r>
      </text>
    </comment>
    <comment ref="B74" authorId="0">
      <text>
        <r>
          <rPr>
            <b/>
            <sz val="9"/>
            <rFont val="Tahoma"/>
            <family val="2"/>
          </rPr>
          <t xml:space="preserve">Listed as ratepayers equity, not total equity. Figure appears far too low </t>
        </r>
        <r>
          <rPr>
            <sz val="9"/>
            <rFont val="Tahoma"/>
            <family val="2"/>
          </rPr>
          <t xml:space="preserve">
</t>
        </r>
      </text>
    </comment>
    <comment ref="B2" authorId="0">
      <text>
        <r>
          <rPr>
            <b/>
            <sz val="9"/>
            <rFont val="Tahoma"/>
            <family val="2"/>
          </rPr>
          <t>Revenue combined accross groups of activities and therefore cannot be included for each service</t>
        </r>
      </text>
    </comment>
    <comment ref="C68" authorId="0">
      <text>
        <r>
          <rPr>
            <sz val="9"/>
            <rFont val="Tahoma"/>
            <family val="2"/>
          </rPr>
          <t xml:space="preserve">animal pests control not reported
</t>
        </r>
      </text>
    </comment>
    <comment ref="H2" authorId="0">
      <text>
        <r>
          <rPr>
            <b/>
            <sz val="9"/>
            <rFont val="Tahoma"/>
            <family val="2"/>
          </rPr>
          <t>Figures adjusted for quarrying</t>
        </r>
        <r>
          <rPr>
            <sz val="9"/>
            <rFont val="Tahoma"/>
            <family val="2"/>
          </rPr>
          <t xml:space="preserve">
</t>
        </r>
      </text>
    </comment>
    <comment ref="I62" authorId="0">
      <text>
        <r>
          <rPr>
            <b/>
            <sz val="9"/>
            <rFont val="Tahoma"/>
            <family val="2"/>
          </rPr>
          <t>Incl task force green</t>
        </r>
        <r>
          <rPr>
            <sz val="9"/>
            <rFont val="Tahoma"/>
            <family val="2"/>
          </rPr>
          <t xml:space="preserve">
</t>
        </r>
      </text>
    </comment>
    <comment ref="K59" authorId="0">
      <text>
        <r>
          <rPr>
            <b/>
            <sz val="9"/>
            <rFont val="Tahoma"/>
            <family val="2"/>
          </rPr>
          <t>Government grants $7000</t>
        </r>
      </text>
    </comment>
    <comment ref="B1" authorId="0">
      <text>
        <r>
          <rPr>
            <sz val="9"/>
            <rFont val="Tahoma"/>
            <family val="2"/>
          </rPr>
          <t xml:space="preserve">
Unable to include govenrment grants to each activity</t>
        </r>
      </text>
    </comment>
    <comment ref="M62" authorId="0">
      <text>
        <r>
          <rPr>
            <b/>
            <sz val="9"/>
            <rFont val="Tahoma"/>
            <family val="2"/>
          </rPr>
          <t>Econ devo introduced</t>
        </r>
        <r>
          <rPr>
            <sz val="9"/>
            <rFont val="Tahoma"/>
            <family val="2"/>
          </rPr>
          <t xml:space="preserve">
</t>
        </r>
      </text>
    </comment>
    <comment ref="O62" authorId="0">
      <text>
        <r>
          <rPr>
            <b/>
            <sz val="9"/>
            <rFont val="Tahoma"/>
            <family val="2"/>
          </rPr>
          <t>Civil defence, oil, hazards, and flood warnings combined. Cannot separate</t>
        </r>
        <r>
          <rPr>
            <sz val="9"/>
            <rFont val="Tahoma"/>
            <family val="2"/>
          </rPr>
          <t xml:space="preserve">
</t>
        </r>
      </text>
    </comment>
    <comment ref="P37" authorId="0">
      <text>
        <r>
          <rPr>
            <b/>
            <sz val="9"/>
            <rFont val="Tahoma"/>
            <family val="2"/>
          </rPr>
          <t>Incl Greymouth flood wall</t>
        </r>
      </text>
    </comment>
    <comment ref="R74" authorId="0">
      <text>
        <r>
          <rPr>
            <b/>
            <sz val="9"/>
            <rFont val="Tahoma"/>
            <family val="2"/>
          </rPr>
          <t>Increase in revaluation reserve $15.35 million</t>
        </r>
        <r>
          <rPr>
            <sz val="9"/>
            <rFont val="Tahoma"/>
            <family val="2"/>
          </rPr>
          <t xml:space="preserve">
</t>
        </r>
      </text>
    </comment>
    <comment ref="R63" authorId="0">
      <text>
        <r>
          <rPr>
            <b/>
            <sz val="9"/>
            <rFont val="Tahoma"/>
            <family val="2"/>
          </rPr>
          <t xml:space="preserve">Combined with other environmental planning </t>
        </r>
        <r>
          <rPr>
            <sz val="9"/>
            <rFont val="Tahoma"/>
            <family val="2"/>
          </rPr>
          <t xml:space="preserve">
</t>
        </r>
      </text>
    </comment>
    <comment ref="R67" authorId="0">
      <text>
        <r>
          <rPr>
            <b/>
            <sz val="9"/>
            <rFont val="Tahoma"/>
            <family val="2"/>
          </rPr>
          <t>May include transport</t>
        </r>
      </text>
    </comment>
  </commentList>
</comments>
</file>

<file path=xl/comments6.xml><?xml version="1.0" encoding="utf-8"?>
<comments xmlns="http://schemas.openxmlformats.org/spreadsheetml/2006/main">
  <authors>
    <author>riddhi.gupta</author>
  </authors>
  <commentList>
    <comment ref="N7" authorId="0">
      <text>
        <r>
          <rPr>
            <b/>
            <sz val="8"/>
            <rFont val="Tahoma"/>
            <family val="2"/>
          </rPr>
          <t xml:space="preserve">As Horizons regional council
</t>
        </r>
        <r>
          <rPr>
            <sz val="8"/>
            <rFont val="Tahoma"/>
            <family val="2"/>
          </rPr>
          <t xml:space="preserve">
</t>
        </r>
      </text>
    </comment>
    <comment ref="N13" authorId="0">
      <text>
        <r>
          <rPr>
            <b/>
            <sz val="8"/>
            <rFont val="Tahoma"/>
            <family val="2"/>
          </rPr>
          <t>Known as Greater wellington regional council</t>
        </r>
        <r>
          <rPr>
            <sz val="8"/>
            <rFont val="Tahoma"/>
            <family val="2"/>
          </rPr>
          <t xml:space="preserve">
</t>
        </r>
      </text>
    </comment>
  </commentList>
</comments>
</file>

<file path=xl/comments7.xml><?xml version="1.0" encoding="utf-8"?>
<comments xmlns="http://schemas.openxmlformats.org/spreadsheetml/2006/main">
  <authors>
    <author>Riddhi</author>
    <author>riddhi.gupta</author>
  </authors>
  <commentList>
    <comment ref="B72" authorId="0">
      <text>
        <r>
          <rPr>
            <sz val="9"/>
            <rFont val="Tahoma"/>
            <family val="2"/>
          </rPr>
          <t>Unable to distingush between group and council costs (some non activity services given in net cost only) e.g. Ports of auckland</t>
        </r>
      </text>
    </comment>
    <comment ref="B59" authorId="0">
      <text>
        <r>
          <rPr>
            <b/>
            <sz val="9"/>
            <rFont val="Tahoma"/>
            <family val="2"/>
          </rPr>
          <t>Net general revenues included here</t>
        </r>
        <r>
          <rPr>
            <sz val="9"/>
            <rFont val="Tahoma"/>
            <family val="2"/>
          </rPr>
          <t xml:space="preserve">
</t>
        </r>
      </text>
    </comment>
    <comment ref="E31" authorId="0">
      <text>
        <r>
          <rPr>
            <b/>
            <sz val="9"/>
            <rFont val="Tahoma"/>
            <family val="2"/>
          </rPr>
          <t>Revenue for regional waste combined with other strategic activities</t>
        </r>
        <r>
          <rPr>
            <sz val="9"/>
            <rFont val="Tahoma"/>
            <family val="2"/>
          </rPr>
          <t xml:space="preserve">
</t>
        </r>
      </text>
    </comment>
    <comment ref="E42" authorId="0">
      <text>
        <r>
          <rPr>
            <b/>
            <sz val="9"/>
            <rFont val="Tahoma"/>
            <family val="2"/>
          </rPr>
          <t>Used to fund pest control</t>
        </r>
        <r>
          <rPr>
            <sz val="9"/>
            <rFont val="Tahoma"/>
            <family val="2"/>
          </rPr>
          <t xml:space="preserve">
</t>
        </r>
      </text>
    </comment>
    <comment ref="E67" authorId="0">
      <text>
        <r>
          <rPr>
            <b/>
            <sz val="9"/>
            <rFont val="Tahoma"/>
            <family val="2"/>
          </rPr>
          <t>Includes monitoring needed for land fill aftercare</t>
        </r>
        <r>
          <rPr>
            <sz val="9"/>
            <rFont val="Tahoma"/>
            <family val="2"/>
          </rPr>
          <t xml:space="preserve">
</t>
        </r>
      </text>
    </comment>
    <comment ref="E72" authorId="0">
      <text>
        <r>
          <rPr>
            <b/>
            <sz val="9"/>
            <rFont val="Tahoma"/>
            <family val="2"/>
          </rPr>
          <t>Council figures only</t>
        </r>
      </text>
    </comment>
    <comment ref="E74" authorId="0">
      <text>
        <r>
          <rPr>
            <b/>
            <sz val="9"/>
            <rFont val="Tahoma"/>
            <family val="2"/>
          </rPr>
          <t>Likely due to exclusions of group activities i.e. Council figure only</t>
        </r>
      </text>
    </comment>
    <comment ref="E43" authorId="0">
      <text>
        <r>
          <rPr>
            <b/>
            <sz val="9"/>
            <rFont val="Tahoma"/>
            <family val="2"/>
          </rPr>
          <t>Revenue also used to fund biosecurity</t>
        </r>
        <r>
          <rPr>
            <sz val="9"/>
            <rFont val="Tahoma"/>
            <family val="2"/>
          </rPr>
          <t xml:space="preserve">
</t>
        </r>
      </text>
    </comment>
    <comment ref="K64" authorId="0">
      <text>
        <r>
          <rPr>
            <sz val="9"/>
            <rFont val="Tahoma"/>
            <family val="2"/>
          </rPr>
          <t>Likely that refuse collection and disposal have been discontinued.  Contaminated sites, hazardous wastes and landfill aftercare all part of environmental monitoring for consistent comparisons.</t>
        </r>
      </text>
    </comment>
    <comment ref="E62" authorId="0">
      <text>
        <r>
          <rPr>
            <b/>
            <sz val="9"/>
            <rFont val="Tahoma"/>
            <family val="2"/>
          </rPr>
          <t>Incl civil defence, regional devo, parks, recreation, heritage, habour hazards</t>
        </r>
        <r>
          <rPr>
            <sz val="9"/>
            <rFont val="Tahoma"/>
            <family val="2"/>
          </rPr>
          <t xml:space="preserve">
</t>
        </r>
      </text>
    </comment>
    <comment ref="N67" authorId="0">
      <text>
        <r>
          <rPr>
            <b/>
            <sz val="9"/>
            <rFont val="Tahoma"/>
            <family val="2"/>
          </rPr>
          <t>No expenditure on biosecurity</t>
        </r>
        <r>
          <rPr>
            <sz val="9"/>
            <rFont val="Tahoma"/>
            <family val="2"/>
          </rPr>
          <t xml:space="preserve">
</t>
        </r>
      </text>
    </comment>
    <comment ref="P2" authorId="0">
      <text>
        <r>
          <rPr>
            <b/>
            <sz val="9"/>
            <rFont val="Tahoma"/>
            <family val="2"/>
          </rPr>
          <t>Group figures re introduced</t>
        </r>
      </text>
    </comment>
    <comment ref="P59" authorId="0">
      <text>
        <r>
          <rPr>
            <sz val="9"/>
            <rFont val="Tahoma"/>
            <family val="2"/>
          </rPr>
          <t xml:space="preserve">Group figure
</t>
        </r>
      </text>
    </comment>
    <comment ref="P74" authorId="0">
      <text>
        <r>
          <rPr>
            <sz val="9"/>
            <rFont val="Tahoma"/>
            <family val="2"/>
          </rPr>
          <t xml:space="preserve">Net surplus $831.547 million, increase in asset revaluation reserves $209.866 million
</t>
        </r>
      </text>
    </comment>
    <comment ref="P63" authorId="0">
      <text>
        <r>
          <rPr>
            <b/>
            <sz val="9"/>
            <rFont val="Tahoma"/>
            <family val="2"/>
          </rPr>
          <t>Rideline incl with transport</t>
        </r>
        <r>
          <rPr>
            <sz val="9"/>
            <rFont val="Tahoma"/>
            <family val="2"/>
          </rPr>
          <t xml:space="preserve">
</t>
        </r>
      </text>
    </comment>
    <comment ref="P62" authorId="0">
      <text>
        <r>
          <rPr>
            <b/>
            <sz val="9"/>
            <rFont val="Tahoma"/>
            <family val="2"/>
          </rPr>
          <t>Ericsson stadium incl with parks and reserves</t>
        </r>
        <r>
          <rPr>
            <sz val="9"/>
            <rFont val="Tahoma"/>
            <family val="2"/>
          </rPr>
          <t xml:space="preserve">
</t>
        </r>
      </text>
    </comment>
    <comment ref="P43" authorId="0">
      <text>
        <r>
          <rPr>
            <b/>
            <sz val="9"/>
            <rFont val="Tahoma"/>
            <family val="2"/>
          </rPr>
          <t>Proportion of revenue likely to be spent on pest control is very minimal that overlap can be disregarded</t>
        </r>
        <r>
          <rPr>
            <sz val="9"/>
            <rFont val="Tahoma"/>
            <family val="2"/>
          </rPr>
          <t xml:space="preserve">
</t>
        </r>
      </text>
    </comment>
    <comment ref="R68" authorId="0">
      <text>
        <r>
          <rPr>
            <b/>
            <sz val="9"/>
            <rFont val="Tahoma"/>
            <family val="2"/>
          </rPr>
          <t>Unable to include land mgmt because it extends beyond soli conservation to other aspects of monitoring.</t>
        </r>
        <r>
          <rPr>
            <sz val="9"/>
            <rFont val="Tahoma"/>
            <family val="2"/>
          </rPr>
          <t xml:space="preserve">
</t>
        </r>
      </text>
    </comment>
    <comment ref="Q59" authorId="1">
      <text>
        <r>
          <rPr>
            <b/>
            <sz val="8"/>
            <rFont val="Tahoma"/>
            <family val="2"/>
          </rPr>
          <t>Sudden change in revenue due to re categorisation of group and council revnues</t>
        </r>
      </text>
    </comment>
  </commentList>
</comments>
</file>

<file path=xl/comments8.xml><?xml version="1.0" encoding="utf-8"?>
<comments xmlns="http://schemas.openxmlformats.org/spreadsheetml/2006/main">
  <authors>
    <author>Riddhi</author>
  </authors>
  <commentList>
    <comment ref="B63" authorId="0">
      <text>
        <r>
          <rPr>
            <sz val="9"/>
            <rFont val="Tahoma"/>
            <family val="2"/>
          </rPr>
          <t xml:space="preserve">Combined civil defence, planning and regional land transport
</t>
        </r>
      </text>
    </comment>
    <comment ref="B67" authorId="0">
      <text>
        <r>
          <rPr>
            <b/>
            <sz val="9"/>
            <rFont val="Tahoma"/>
            <family val="2"/>
          </rPr>
          <t>Resource planning</t>
        </r>
        <r>
          <rPr>
            <sz val="9"/>
            <rFont val="Tahoma"/>
            <family val="2"/>
          </rPr>
          <t xml:space="preserve">
</t>
        </r>
      </text>
    </comment>
    <comment ref="B68" authorId="0">
      <text>
        <r>
          <rPr>
            <b/>
            <sz val="9"/>
            <rFont val="Tahoma"/>
            <family val="2"/>
          </rPr>
          <t>Combined land mgmt, pest control and river works</t>
        </r>
        <r>
          <rPr>
            <sz val="9"/>
            <rFont val="Tahoma"/>
            <family val="2"/>
          </rPr>
          <t xml:space="preserve">
</t>
        </r>
      </text>
    </comment>
    <comment ref="B66" authorId="0">
      <text>
        <r>
          <rPr>
            <b/>
            <sz val="9"/>
            <rFont val="Tahoma"/>
            <family val="2"/>
          </rPr>
          <t>Drainage</t>
        </r>
        <r>
          <rPr>
            <sz val="9"/>
            <rFont val="Tahoma"/>
            <family val="2"/>
          </rPr>
          <t xml:space="preserve">
</t>
        </r>
      </text>
    </comment>
    <comment ref="C59" authorId="0">
      <text>
        <r>
          <rPr>
            <b/>
            <sz val="9"/>
            <rFont val="Tahoma"/>
            <family val="2"/>
          </rPr>
          <t>Consolidated figures introduced</t>
        </r>
      </text>
    </comment>
    <comment ref="D62" authorId="0">
      <text>
        <r>
          <rPr>
            <b/>
            <sz val="9"/>
            <rFont val="Tahoma"/>
            <family val="2"/>
          </rPr>
          <t>Includes civil defence and tourism</t>
        </r>
        <r>
          <rPr>
            <sz val="9"/>
            <rFont val="Tahoma"/>
            <family val="2"/>
          </rPr>
          <t xml:space="preserve">
</t>
        </r>
      </text>
    </comment>
    <comment ref="F13" authorId="0">
      <text>
        <r>
          <rPr>
            <b/>
            <sz val="9"/>
            <rFont val="Tahoma"/>
            <family val="2"/>
          </rPr>
          <t>Separated rates and levies no longer reported</t>
        </r>
      </text>
    </comment>
    <comment ref="B74" authorId="0">
      <text>
        <r>
          <rPr>
            <b/>
            <sz val="9"/>
            <rFont val="Tahoma"/>
            <family val="2"/>
          </rPr>
          <t>Unsure if this is the correct figure for closing equity</t>
        </r>
        <r>
          <rPr>
            <sz val="9"/>
            <rFont val="Tahoma"/>
            <family val="2"/>
          </rPr>
          <t xml:space="preserve">
</t>
        </r>
      </text>
    </comment>
    <comment ref="J67" authorId="0">
      <text>
        <r>
          <rPr>
            <b/>
            <sz val="9"/>
            <rFont val="Tahoma"/>
            <family val="2"/>
          </rPr>
          <t>General policy and resource planning combined, therefore excluded from this sub total</t>
        </r>
        <r>
          <rPr>
            <sz val="9"/>
            <rFont val="Tahoma"/>
            <family val="2"/>
          </rPr>
          <t xml:space="preserve">
</t>
        </r>
      </text>
    </comment>
    <comment ref="J62" authorId="0">
      <text>
        <r>
          <rPr>
            <b/>
            <sz val="9"/>
            <rFont val="Tahoma"/>
            <family val="2"/>
          </rPr>
          <t xml:space="preserve">Includes maritime
</t>
        </r>
        <r>
          <rPr>
            <sz val="9"/>
            <rFont val="Tahoma"/>
            <family val="2"/>
          </rPr>
          <t xml:space="preserve">
</t>
        </r>
      </text>
    </comment>
    <comment ref="J74" authorId="0">
      <text>
        <r>
          <rPr>
            <b/>
            <sz val="9"/>
            <rFont val="Tahoma"/>
            <family val="2"/>
          </rPr>
          <t>Increase in revaluation reserve $94.126 million. Increase in minority interest $69.574 million</t>
        </r>
        <r>
          <rPr>
            <sz val="9"/>
            <rFont val="Tahoma"/>
            <family val="2"/>
          </rPr>
          <t xml:space="preserve">
</t>
        </r>
      </text>
    </comment>
    <comment ref="K62" authorId="0">
      <text>
        <r>
          <rPr>
            <b/>
            <sz val="9"/>
            <rFont val="Tahoma"/>
            <family val="2"/>
          </rPr>
          <t xml:space="preserve">Includes property
</t>
        </r>
        <r>
          <rPr>
            <sz val="9"/>
            <rFont val="Tahoma"/>
            <family val="2"/>
          </rPr>
          <t xml:space="preserve">
</t>
        </r>
      </text>
    </comment>
    <comment ref="O74" authorId="0">
      <text>
        <r>
          <rPr>
            <sz val="9"/>
            <rFont val="Tahoma"/>
            <family val="2"/>
          </rPr>
          <t xml:space="preserve">Increase in revalution reserves $104.033 million
</t>
        </r>
      </text>
    </comment>
    <comment ref="P62" authorId="0">
      <text>
        <r>
          <rPr>
            <b/>
            <sz val="9"/>
            <rFont val="Tahoma"/>
            <family val="2"/>
          </rPr>
          <t xml:space="preserve">Includes development, parks and heritage
</t>
        </r>
      </text>
    </comment>
    <comment ref="P66" authorId="0">
      <text>
        <r>
          <rPr>
            <b/>
            <sz val="9"/>
            <rFont val="Tahoma"/>
            <family val="2"/>
          </rPr>
          <t>Minor and major river works, drainage, flood response, technical aid design and advice.</t>
        </r>
        <r>
          <rPr>
            <sz val="9"/>
            <rFont val="Tahoma"/>
            <family val="2"/>
          </rPr>
          <t xml:space="preserve">
</t>
        </r>
      </text>
    </comment>
    <comment ref="R74" authorId="0">
      <text>
        <r>
          <rPr>
            <b/>
            <sz val="9"/>
            <rFont val="Tahoma"/>
            <family val="2"/>
          </rPr>
          <t>Increase in minority interest $107.186 million</t>
        </r>
        <r>
          <rPr>
            <sz val="9"/>
            <rFont val="Tahoma"/>
            <family val="2"/>
          </rPr>
          <t xml:space="preserve">
</t>
        </r>
      </text>
    </comment>
  </commentList>
</comments>
</file>

<file path=xl/comments9.xml><?xml version="1.0" encoding="utf-8"?>
<comments xmlns="http://schemas.openxmlformats.org/spreadsheetml/2006/main">
  <authors>
    <author>Riddhi</author>
  </authors>
  <commentList>
    <comment ref="C2" authorId="0">
      <text>
        <r>
          <rPr>
            <b/>
            <sz val="9"/>
            <rFont val="Tahoma"/>
            <family val="2"/>
          </rPr>
          <t>Transport and community data is combined. Expenditure information extracted. 
Pest control, land mgmt, drainage and river works information is combined.  Unable to separate revenue; expenses extracted. 
Monitoring information labelled air  &amp; water resoruce management. Some planning and consent expenses cannot separate from drainage and land mgmt (above).</t>
        </r>
      </text>
    </comment>
    <comment ref="C54" authorId="0">
      <text>
        <r>
          <rPr>
            <b/>
            <sz val="9"/>
            <rFont val="Tahoma"/>
            <family val="2"/>
          </rPr>
          <t>Adjusted for combined data for drainage and pest control.</t>
        </r>
        <r>
          <rPr>
            <sz val="9"/>
            <rFont val="Tahoma"/>
            <family val="2"/>
          </rPr>
          <t xml:space="preserve">
</t>
        </r>
      </text>
    </comment>
    <comment ref="C55" authorId="0">
      <text>
        <r>
          <rPr>
            <b/>
            <sz val="9"/>
            <rFont val="Tahoma"/>
            <family val="2"/>
          </rPr>
          <t>Adjusted for combined data for drainage and pest control.</t>
        </r>
        <r>
          <rPr>
            <sz val="9"/>
            <rFont val="Tahoma"/>
            <family val="2"/>
          </rPr>
          <t xml:space="preserve">
</t>
        </r>
      </text>
    </comment>
    <comment ref="C56" authorId="0">
      <text>
        <r>
          <rPr>
            <b/>
            <sz val="9"/>
            <rFont val="Tahoma"/>
            <family val="2"/>
          </rPr>
          <t>Adjusted for combined data for drainage and pest control.</t>
        </r>
        <r>
          <rPr>
            <sz val="9"/>
            <rFont val="Tahoma"/>
            <family val="2"/>
          </rPr>
          <t xml:space="preserve">
</t>
        </r>
      </text>
    </comment>
    <comment ref="C57" authorId="0">
      <text>
        <r>
          <rPr>
            <b/>
            <sz val="9"/>
            <rFont val="Tahoma"/>
            <family val="2"/>
          </rPr>
          <t>Adjusted for combined data for drainage and pest control.</t>
        </r>
        <r>
          <rPr>
            <sz val="9"/>
            <rFont val="Tahoma"/>
            <family val="2"/>
          </rPr>
          <t xml:space="preserve">
</t>
        </r>
      </text>
    </comment>
    <comment ref="C62" authorId="0">
      <text>
        <r>
          <rPr>
            <b/>
            <sz val="9"/>
            <rFont val="Tahoma"/>
            <family val="2"/>
          </rPr>
          <t>Inlcudes libraries under corporate mgmt</t>
        </r>
        <r>
          <rPr>
            <sz val="9"/>
            <rFont val="Tahoma"/>
            <family val="2"/>
          </rPr>
          <t xml:space="preserve">
</t>
        </r>
      </text>
    </comment>
    <comment ref="D74" authorId="0">
      <text>
        <r>
          <rPr>
            <b/>
            <sz val="9"/>
            <rFont val="Tahoma"/>
            <family val="2"/>
          </rPr>
          <t>Increase in asset revaluation reserve $164.661 million</t>
        </r>
      </text>
    </comment>
    <comment ref="D63" authorId="0">
      <text>
        <r>
          <rPr>
            <b/>
            <sz val="9"/>
            <rFont val="Tahoma"/>
            <family val="2"/>
          </rPr>
          <t>Transport and civil defence combined</t>
        </r>
        <r>
          <rPr>
            <sz val="9"/>
            <rFont val="Tahoma"/>
            <family val="2"/>
          </rPr>
          <t xml:space="preserve">
</t>
        </r>
      </text>
    </comment>
    <comment ref="D66" authorId="0">
      <text>
        <r>
          <rPr>
            <b/>
            <sz val="9"/>
            <rFont val="Tahoma"/>
            <family val="2"/>
          </rPr>
          <t>Drainage, flood control, monitoring, pest control all combined</t>
        </r>
        <r>
          <rPr>
            <sz val="9"/>
            <rFont val="Tahoma"/>
            <family val="2"/>
          </rPr>
          <t xml:space="preserve">
</t>
        </r>
      </text>
    </comment>
    <comment ref="D62" authorId="0">
      <text>
        <r>
          <rPr>
            <b/>
            <sz val="9"/>
            <rFont val="Tahoma"/>
            <family val="2"/>
          </rPr>
          <t>Part of economic expenses, libraries</t>
        </r>
        <r>
          <rPr>
            <sz val="9"/>
            <rFont val="Tahoma"/>
            <family val="2"/>
          </rPr>
          <t xml:space="preserve">
</t>
        </r>
      </text>
    </comment>
    <comment ref="D54" authorId="0">
      <text>
        <r>
          <rPr>
            <b/>
            <sz val="9"/>
            <rFont val="Tahoma"/>
            <family val="2"/>
          </rPr>
          <t>Adjusted for combined revenue for drainage, monitoring and pest control.</t>
        </r>
        <r>
          <rPr>
            <sz val="9"/>
            <rFont val="Tahoma"/>
            <family val="2"/>
          </rPr>
          <t xml:space="preserve">
</t>
        </r>
      </text>
    </comment>
    <comment ref="G2" authorId="0">
      <text>
        <r>
          <rPr>
            <sz val="9"/>
            <rFont val="Tahoma"/>
            <family val="2"/>
          </rPr>
          <t xml:space="preserve">Works rating district and catchement works and services rates combined for consistency with previous years.
</t>
        </r>
      </text>
    </comment>
    <comment ref="G36" authorId="0">
      <text>
        <r>
          <rPr>
            <sz val="9"/>
            <rFont val="Tahoma"/>
            <family val="2"/>
          </rPr>
          <t xml:space="preserve">Works rating district and catchement works and services rates combined for consistency with previous years.
</t>
        </r>
      </text>
    </comment>
    <comment ref="H2" authorId="0">
      <text>
        <r>
          <rPr>
            <b/>
            <sz val="9"/>
            <rFont val="Tahoma"/>
            <family val="2"/>
          </rPr>
          <t>Interest income unable to allocate to each service; only as whole figure for all council activties.</t>
        </r>
        <r>
          <rPr>
            <sz val="9"/>
            <rFont val="Tahoma"/>
            <family val="2"/>
          </rPr>
          <t xml:space="preserve">
</t>
        </r>
      </text>
    </comment>
    <comment ref="H67" authorId="0">
      <text>
        <r>
          <rPr>
            <b/>
            <sz val="9"/>
            <rFont val="Tahoma"/>
            <family val="2"/>
          </rPr>
          <t>Includes hazardous wastes</t>
        </r>
        <r>
          <rPr>
            <sz val="9"/>
            <rFont val="Tahoma"/>
            <family val="2"/>
          </rPr>
          <t xml:space="preserve">
</t>
        </r>
      </text>
    </comment>
    <comment ref="M74" authorId="0">
      <text>
        <r>
          <rPr>
            <b/>
            <sz val="9"/>
            <rFont val="Tahoma"/>
            <family val="2"/>
          </rPr>
          <t>Increase in reserves $35.430 million</t>
        </r>
      </text>
    </comment>
    <comment ref="D13" authorId="0">
      <text>
        <r>
          <rPr>
            <b/>
            <sz val="9"/>
            <rFont val="Tahoma"/>
            <family val="2"/>
          </rPr>
          <t>Most separated rates spent on public passenger transport within the region</t>
        </r>
      </text>
    </comment>
    <comment ref="P74" authorId="0">
      <text>
        <r>
          <rPr>
            <b/>
            <sz val="9"/>
            <rFont val="Tahoma"/>
            <family val="2"/>
          </rPr>
          <t>revaluation in assets $57.909 milion</t>
        </r>
        <r>
          <rPr>
            <sz val="9"/>
            <rFont val="Tahoma"/>
            <family val="2"/>
          </rPr>
          <t xml:space="preserve">
</t>
        </r>
      </text>
    </comment>
    <comment ref="S59" authorId="0">
      <text>
        <r>
          <rPr>
            <b/>
            <sz val="9"/>
            <rFont val="Tahoma"/>
            <family val="2"/>
          </rPr>
          <t>Council not consolidated figure</t>
        </r>
        <r>
          <rPr>
            <sz val="9"/>
            <rFont val="Tahoma"/>
            <family val="2"/>
          </rPr>
          <t xml:space="preserve">
</t>
        </r>
      </text>
    </comment>
    <comment ref="S2" authorId="0">
      <text>
        <r>
          <rPr>
            <b/>
            <sz val="9"/>
            <rFont val="Tahoma"/>
            <family val="2"/>
          </rPr>
          <t>Consolidated figures not reported</t>
        </r>
        <r>
          <rPr>
            <sz val="9"/>
            <rFont val="Tahoma"/>
            <family val="2"/>
          </rPr>
          <t xml:space="preserve">
</t>
        </r>
      </text>
    </comment>
    <comment ref="S74" authorId="0">
      <text>
        <r>
          <rPr>
            <b/>
            <sz val="9"/>
            <rFont val="Tahoma"/>
            <family val="2"/>
          </rPr>
          <t xml:space="preserve">revaluation of assets $161.218 million </t>
        </r>
      </text>
    </comment>
  </commentList>
</comments>
</file>

<file path=xl/sharedStrings.xml><?xml version="1.0" encoding="utf-8"?>
<sst xmlns="http://schemas.openxmlformats.org/spreadsheetml/2006/main" count="2075" uniqueCount="423">
  <si>
    <t>Total Public Equity</t>
  </si>
  <si>
    <t>TOTAL EXPENDITURE</t>
  </si>
  <si>
    <t>Total Other expenditure including-governance,administration, planning &amp; community owned enterprises</t>
  </si>
  <si>
    <t>Other non council group expenditure</t>
  </si>
  <si>
    <t xml:space="preserve">Other council expenditure including-governance,administration, planning </t>
  </si>
  <si>
    <t>water treatment &amp; supply</t>
  </si>
  <si>
    <t>EXPENDITURE</t>
  </si>
  <si>
    <t>TOTAL REVENUE</t>
  </si>
  <si>
    <t xml:space="preserve">Other operating revenue </t>
  </si>
  <si>
    <t>funding balance</t>
  </si>
  <si>
    <t>Total utilities operating revenue</t>
  </si>
  <si>
    <t xml:space="preserve">other utilities operating revenue </t>
  </si>
  <si>
    <t>separate rate</t>
  </si>
  <si>
    <t>Total Utilities</t>
  </si>
  <si>
    <t>net cost/funding balance</t>
  </si>
  <si>
    <t>total refuse funding</t>
  </si>
  <si>
    <t>other operating revenue including user charges</t>
  </si>
  <si>
    <t>Refuse</t>
  </si>
  <si>
    <t>total sewerage funding</t>
  </si>
  <si>
    <t>Sewerage</t>
  </si>
  <si>
    <t>total water funding for operations</t>
  </si>
  <si>
    <t>Water Funding</t>
  </si>
  <si>
    <t>Total Rates</t>
  </si>
  <si>
    <t>Misc including penalties</t>
  </si>
  <si>
    <t>Total Separate rates</t>
  </si>
  <si>
    <t>refuse rates</t>
  </si>
  <si>
    <t>sewerage rates</t>
  </si>
  <si>
    <t>water rates</t>
  </si>
  <si>
    <t>uniform annual charge</t>
  </si>
  <si>
    <t>General Rate</t>
  </si>
  <si>
    <t>Rates revenue</t>
  </si>
  <si>
    <t>$000s</t>
  </si>
  <si>
    <t>REVENUE</t>
  </si>
  <si>
    <t xml:space="preserve">Hawkes Bay Regional Council </t>
  </si>
  <si>
    <t>drainage</t>
  </si>
  <si>
    <t>drainage rates</t>
  </si>
  <si>
    <t xml:space="preserve">Expenditure is net of loans, interest, depreciation, opening and closing balances. </t>
  </si>
  <si>
    <t>Roading</t>
  </si>
  <si>
    <t>Parks &amp; community facilities &amp; services(including property)</t>
  </si>
  <si>
    <t>Economic development,tourism, civil defence, hazard mitigation, rural fires, ports, harbour and maritime expenses, property (incl endowed land and leaseholds), regional assets if appropriate (e.g. parks, reserves, ports, polytechnics)</t>
  </si>
  <si>
    <t>Passenger and public transport (usually planning)</t>
  </si>
  <si>
    <t>Pest control &amp; land</t>
  </si>
  <si>
    <t>Drainage and river controls</t>
  </si>
  <si>
    <t>pest control rates</t>
  </si>
  <si>
    <t>environ monitoring</t>
  </si>
  <si>
    <t>Environ monitoring</t>
  </si>
  <si>
    <t>monitoring</t>
  </si>
  <si>
    <t>pest control</t>
  </si>
  <si>
    <t xml:space="preserve">Environment Waikato Regional Council </t>
  </si>
  <si>
    <t>Animal and plant pest control,  land sustainability, farming, riparian projects, soil conservation, logging</t>
  </si>
  <si>
    <t>Monitoring</t>
  </si>
  <si>
    <t>refuse</t>
  </si>
  <si>
    <t>Sewergae, refuse, stormwater and drainage</t>
  </si>
  <si>
    <t>does not include strategic 'council' planning</t>
  </si>
  <si>
    <t>Democracy, cost of media, iwi relationships, planning, complaints, public awareness and information, finance, personnel, public relations, administration, corporate services</t>
  </si>
  <si>
    <t xml:space="preserve">The new categories exhibit no trends other than that of increasing revenue. </t>
  </si>
  <si>
    <t>Many regional activities are not strictly contigent on the growth of society e.g. Monitoring, biosecurity, flood control are more independent of population growth than water supply, wastewater and refuse services.</t>
  </si>
  <si>
    <t>Variation in expenditure is also due to overlap between different categories e.g. River control and monitoring, strategic v utilty planning, toxic waste mgmt and refuse</t>
  </si>
  <si>
    <t>Monitoring water quality, measuring sedimentation, structural waste, pollution, use of permits, environmental research, plans, consents, general mgmt of natual resources</t>
  </si>
  <si>
    <t>often funded by government grants</t>
  </si>
  <si>
    <t>Other revenue does not include general rates or any reserves which are moved simply to balance budget i.e. Try to isolate true activity operating revenue.</t>
  </si>
  <si>
    <t>the funding balance in all cases for this council is forced to zero via general rates</t>
  </si>
  <si>
    <t>Pest control &amp; land mgmt</t>
  </si>
  <si>
    <t xml:space="preserve">Otago Regional Council </t>
  </si>
  <si>
    <t xml:space="preserve">Canterbury Regional Council </t>
  </si>
  <si>
    <t xml:space="preserve">Northland  Regional Council </t>
  </si>
  <si>
    <t xml:space="preserve"> Horizons Regional Council </t>
  </si>
  <si>
    <t xml:space="preserve">Bay of Plenty Regional Council </t>
  </si>
  <si>
    <t xml:space="preserve">Taranaki  Regional Council </t>
  </si>
  <si>
    <t xml:space="preserve">All inter unit transactions have been elimnated. </t>
  </si>
  <si>
    <t xml:space="preserve">Southland Regional Council </t>
  </si>
  <si>
    <t xml:space="preserve">West Coast Regional Council </t>
  </si>
  <si>
    <t xml:space="preserve"> Wellington Regional Council </t>
  </si>
  <si>
    <t xml:space="preserve"> Auckland Regional Council </t>
  </si>
  <si>
    <t xml:space="preserve"> Regional Council </t>
  </si>
  <si>
    <t>KEY</t>
  </si>
  <si>
    <t>C</t>
  </si>
  <si>
    <t>Classification problem</t>
  </si>
  <si>
    <t>cd</t>
  </si>
  <si>
    <t>Combined revenues and expenditures problem</t>
  </si>
  <si>
    <t>cr</t>
  </si>
  <si>
    <t xml:space="preserve">Combined  revenue problem only </t>
  </si>
  <si>
    <t>P</t>
  </si>
  <si>
    <t>Other general problems</t>
  </si>
  <si>
    <t>Cxx,  Pxx</t>
  </si>
  <si>
    <t>The row most affected by classification or other problems</t>
  </si>
  <si>
    <t>Note that affects are overlapping and the row number is approximate</t>
  </si>
  <si>
    <t>Council</t>
  </si>
  <si>
    <t>Row</t>
  </si>
  <si>
    <t>Comment</t>
  </si>
  <si>
    <t>Bay of Plenty</t>
  </si>
  <si>
    <t>C63</t>
  </si>
  <si>
    <t>BOP Roading combined with civil defence and planning.</t>
  </si>
  <si>
    <t>C68</t>
  </si>
  <si>
    <t>BOP Pest control and land mgmt includes some river works; most land drainage captured by row 63</t>
  </si>
  <si>
    <t>P74</t>
  </si>
  <si>
    <t xml:space="preserve">BOP 1991 to 1993 - only council equity figures reported </t>
  </si>
  <si>
    <t>P13</t>
  </si>
  <si>
    <t>BOP 1995 to 1998 Separated rates and levies no longer report</t>
  </si>
  <si>
    <t>BOP  consolidated figures introduced in 1992</t>
  </si>
  <si>
    <t>C62</t>
  </si>
  <si>
    <t>BOP Civil defence and tourism introduced in 1992</t>
  </si>
  <si>
    <t>BOP row 62 additionally includes maritime and ports and property expenses post 1999</t>
  </si>
  <si>
    <t>P67</t>
  </si>
  <si>
    <t>BOP post 1999 some monitoring combined with general regional planning and therefore excluded in the expenditure's sub total</t>
  </si>
  <si>
    <t>C66</t>
  </si>
  <si>
    <t>BOP post 2005 drainage includes design and technical services</t>
  </si>
  <si>
    <t>BOP post 2005 row 63  includes parks, heritage and development</t>
  </si>
  <si>
    <t>Canterbury</t>
  </si>
  <si>
    <t xml:space="preserve">CTB 1992 community and transport data combined; pest control, land mgmt and drainage combined </t>
  </si>
  <si>
    <t>CTB pest control and draingae revenue manually adjusted since they are combined</t>
  </si>
  <si>
    <t>CTB 1993 -1996 combined revenue problem for major council services</t>
  </si>
  <si>
    <t>CTB post 1996 works rate, catchment services rate both included under drainage for consistency</t>
  </si>
  <si>
    <t>CTB post 1993 parks and reserves include libraries and economic devo</t>
  </si>
  <si>
    <t>P59</t>
  </si>
  <si>
    <t>CTB  post 1997 interest income cannot be individually allocated to each service - it is captured in total revenue over all services</t>
  </si>
  <si>
    <t>CTB 1997 monitoring includes monitoring and collection of hazardous wastes and contaminated sites</t>
  </si>
  <si>
    <t>CTB 2008 consolidated figures not reported</t>
  </si>
  <si>
    <t xml:space="preserve">Hawkes Bay </t>
  </si>
  <si>
    <t>HAW works rate used to fund all activities - although treated as a separate rate, it behaves like general rate.</t>
  </si>
  <si>
    <t>HAW other revenue excludes movement in funding resources and capital activities</t>
  </si>
  <si>
    <t>C55</t>
  </si>
  <si>
    <t>HAW 1992 leaseholds and property includes in row 55 post 1992</t>
  </si>
  <si>
    <t>C57</t>
  </si>
  <si>
    <t xml:space="preserve">HAW 1992 loss in infrastructural assets and flood management costs. </t>
  </si>
  <si>
    <t>HAW 1993 row 55 incl tourism courses at hawkes bay polytechnic, non corporate expenses on port napier, and reserves</t>
  </si>
  <si>
    <t>HAW 1995 no data available</t>
  </si>
  <si>
    <t>HAW post 1996 Napier Port data captured in group, not council, expenses. Row 55 captures harbour and safety</t>
  </si>
  <si>
    <t>HAW post 1997 cannot include land mgmt with pest control as per other councils</t>
  </si>
  <si>
    <t>HAW 1999 general rate was not struck, port dividends from previous years used instead</t>
  </si>
  <si>
    <t>C56</t>
  </si>
  <si>
    <t>HAW Regional Land Transport strategy introduced</t>
  </si>
  <si>
    <t>P23</t>
  </si>
  <si>
    <t>HAW Separated rates for drainage may be used to also fund capital</t>
  </si>
  <si>
    <t>Horizons</t>
  </si>
  <si>
    <t>MWN All internal transactions eliminated for all figures</t>
  </si>
  <si>
    <t>MWN All activity expenditure include allocations of coporate overhead costs</t>
  </si>
  <si>
    <t>MWN Total rates unable to include penalities</t>
  </si>
  <si>
    <t>MWN Social policy, emergency mgmt, staff training are all combined with resource policy; therefore excluded from rest of environmental monitoring</t>
  </si>
  <si>
    <t>MWN Incl noxious plant program carried out by council for NZ Railway Corp and Defence Dept, possum and animal pest control contracted with Animal Health Board. No affect on net figures i.e. Always a balanced budget with no burden to rate payers</t>
  </si>
  <si>
    <t>C15</t>
  </si>
  <si>
    <t>MWN Post 1996 total rate include penalities</t>
  </si>
  <si>
    <t>MWN Passenger transport included along with transport planning</t>
  </si>
  <si>
    <t>MWN Post 1997 pest control costs combined with land mgmt</t>
  </si>
  <si>
    <t>Cr</t>
  </si>
  <si>
    <t>MWN Post 1997 not all revenue can be included since it is combined with other services in environmental monitoring</t>
  </si>
  <si>
    <t>MWN Civil defence and tourism incl post 1998</t>
  </si>
  <si>
    <t>MWN New animal control pest unit in 2002</t>
  </si>
  <si>
    <t>Cd</t>
  </si>
  <si>
    <t>MWN 2005 to 2007 combined pest control, emergency mgmt, drainage, biosecurity</t>
  </si>
  <si>
    <t xml:space="preserve">MWN 2004 to 2007 land mgmt absorbed into environmental monitoring </t>
  </si>
  <si>
    <t>P14</t>
  </si>
  <si>
    <t>MWN 2007  unsure if separated rates are an accurate total due to new presentation of financial data</t>
  </si>
  <si>
    <t>Northlands</t>
  </si>
  <si>
    <t xml:space="preserve">P </t>
  </si>
  <si>
    <t>NOR  pre 1996 Total revenue and expenditures are council figures. Non council activities given in net, not gross, figures and could not be included.</t>
  </si>
  <si>
    <t>P63</t>
  </si>
  <si>
    <t>NOR Pre 1996 Transport and regional planning and policy combined; pest control, drainage and monitoring combined</t>
  </si>
  <si>
    <t>NOR 1998 tranport and community expenditure have overlap</t>
  </si>
  <si>
    <t>P11</t>
  </si>
  <si>
    <t>NOR 2000 environmental monitoring and pest control rate may be combined</t>
  </si>
  <si>
    <t>NOR Northland Port Ltd data included</t>
  </si>
  <si>
    <t>NOR post 2001 monitoring combined with maritime expenses</t>
  </si>
  <si>
    <t>C10</t>
  </si>
  <si>
    <t>NOR 2004 General rate is now a targetted environmental rate. Former separated rates  is now a land mgmt rate.</t>
  </si>
  <si>
    <t>NOR 2004 Parks and reserve includes commercial property, regional and economic development and tourism But also includes cost of democracy</t>
  </si>
  <si>
    <t>Otago</t>
  </si>
  <si>
    <t>OTG expenditure on services is net of return on capital and depreciation</t>
  </si>
  <si>
    <t>OTG cost of democracy combined over 1993 and 1994, ariel photography is incl with community expenses</t>
  </si>
  <si>
    <t>OTG harbours and roading combined in 1994, 1995</t>
  </si>
  <si>
    <t>C36</t>
  </si>
  <si>
    <t xml:space="preserve">OTG Works and services rates incl in 1996 </t>
  </si>
  <si>
    <t>OTG total rates adjustment occurs in 1999 as approved by valuer general</t>
  </si>
  <si>
    <t>OTG Unable to distingusih clearly between operating and capital expenditure from 2000 to 2003</t>
  </si>
  <si>
    <t xml:space="preserve">Otago </t>
  </si>
  <si>
    <t>OTG Community expenses includes grad grants, projects for Y2K, start up of pest business unit, and environmental projects in 2000</t>
  </si>
  <si>
    <t>OTG  Pest control and contaminated waste are combined, roading and harbours combined</t>
  </si>
  <si>
    <t>OTG Grow Otago introduced post 2005</t>
  </si>
  <si>
    <t>OTG Transport and various other services combined and unable to extract post 2005</t>
  </si>
  <si>
    <t>Southland</t>
  </si>
  <si>
    <t>SLD Unable to include economic devo, tousim and resource plannign fro service expenditure in 1991</t>
  </si>
  <si>
    <t xml:space="preserve">C49 </t>
  </si>
  <si>
    <t>SLD Levies for Bovine Tb control included in 1998</t>
  </si>
  <si>
    <t>C67</t>
  </si>
  <si>
    <t>SLD Environmental planning includes resource (as distinct from regional) planning and 24 hour response unit introduced in 1998</t>
  </si>
  <si>
    <t>C59</t>
  </si>
  <si>
    <t>SLD post 1998 total revenue is less of revenue from discontinued activities</t>
  </si>
  <si>
    <t>SLD post 2001 no revenue breakdown is available as traditional service bundles are grouped more generally as air, water, land &amp; coast.</t>
  </si>
  <si>
    <t>SLD some overlap may exists between tranport, drainage and environmental information</t>
  </si>
  <si>
    <t>C13</t>
  </si>
  <si>
    <t>SLD post 2006 includes rate for southland pest eradication society</t>
  </si>
  <si>
    <t>Taranaki</t>
  </si>
  <si>
    <t xml:space="preserve">TAR all 2001 figures obtained from 2002 report since the former report was not accessible </t>
  </si>
  <si>
    <t xml:space="preserve">TAR all 2005 figures obtained from 2006 report since the former report was not accessible </t>
  </si>
  <si>
    <t>TAR post 1996 transport and harbours are combined</t>
  </si>
  <si>
    <t>TAR Singnificant expenditure on arts recreation and heritage introduced in 2002</t>
  </si>
  <si>
    <t>Waikato</t>
  </si>
  <si>
    <t>WKT 1996 - asset management introduced with assets relating to river control, unable to incorporate land mgmt expenses in row 68</t>
  </si>
  <si>
    <t>WKT post 1997 resource mgmt and planning introduced</t>
  </si>
  <si>
    <t>WKTpost 2002  some river control expenses absorbed by water and coast expenses (new council categories)</t>
  </si>
  <si>
    <t>WKT post 2005 site specific river flooding hazards unavoidably grouped with emergency mgmt</t>
  </si>
  <si>
    <t>WKT All expenditure figures include add back of notional interest post 2001</t>
  </si>
  <si>
    <t>WKT Other revenue unavoidably includes general rates (inconsistent)</t>
  </si>
  <si>
    <t xml:space="preserve">Wellington </t>
  </si>
  <si>
    <t>C7</t>
  </si>
  <si>
    <t>WEL Water levy cast as a separated rate for water over 1991 to 2008</t>
  </si>
  <si>
    <t>WEL Some soil conservation efforts combined with drainage 1991 to 1995</t>
  </si>
  <si>
    <t>P42</t>
  </si>
  <si>
    <t>WEL separated rate for wairarapa dispersed over many environmental activities</t>
  </si>
  <si>
    <t>WEL manual adjustments of figures for drainage, pest control and monitoring over all dataset made to keep expenditure consistent</t>
  </si>
  <si>
    <t>West Coast</t>
  </si>
  <si>
    <t>WSC Revenue combined accross groups of activities and therefore cannot be included for each service</t>
  </si>
  <si>
    <t>WSC Equity for 1991 appears abnormally low</t>
  </si>
  <si>
    <t xml:space="preserve">WSC  1992 animal pest control not reported </t>
  </si>
  <si>
    <t>WSC post 1997 all figures adjusted for quarrying (captured by other revenue and expenditure)</t>
  </si>
  <si>
    <t>WSC Community expenditure includes task force green and civil defence as introdcued</t>
  </si>
  <si>
    <t>WSC Post 2004 community expenditure combined with flood warnings</t>
  </si>
  <si>
    <t>WSC Post 2007 environmental monitoring may include plannign for transport</t>
  </si>
  <si>
    <t xml:space="preserve">WSC Unable to individually include government grants for each service in other activity revenues. </t>
  </si>
  <si>
    <t>Marlborough District Council</t>
  </si>
  <si>
    <t>$000's</t>
  </si>
  <si>
    <t>parks &amp; community facilities &amp; services(including property)</t>
  </si>
  <si>
    <t xml:space="preserve">roading </t>
  </si>
  <si>
    <t>Stormwater, sewerage, refuse &amp; drainage</t>
  </si>
  <si>
    <t>Nelson City Council</t>
  </si>
  <si>
    <t>Tasman District Council</t>
  </si>
  <si>
    <t>Auckland</t>
  </si>
  <si>
    <t>AKD Net general revenue included in total revenue since gross figures were unavailable in 1991</t>
  </si>
  <si>
    <t>P72</t>
  </si>
  <si>
    <t>AKD Non council expenditure unable to include since gross figures were not given</t>
  </si>
  <si>
    <t>AKD data for 1993 missing</t>
  </si>
  <si>
    <t>AKD Post 1994 Combined revenue for activites, unable to extract</t>
  </si>
  <si>
    <t>AKD Post 1994 no consolidated figures reported</t>
  </si>
  <si>
    <t>AKD Landfill after care included in environmental monitoring since most activities are of monitoring nature</t>
  </si>
  <si>
    <t>P64</t>
  </si>
  <si>
    <t>AKD No refuse reported post 2000</t>
  </si>
  <si>
    <t>AKD Group figures reported post 2005; Rideline and Ericsson Stadium business units merge with transport and community expenses respectively</t>
  </si>
  <si>
    <t xml:space="preserve">Most of the time, environmental monitoring services do not have an associated separated rate. </t>
  </si>
  <si>
    <t>Gisborne District Council</t>
  </si>
  <si>
    <t>Gisborne</t>
  </si>
  <si>
    <t>GIS 2002 inconsistencies created when landfill write offs are classified as a different cost under urban services</t>
  </si>
  <si>
    <t>GIS 2004 urban services no longer include expenditure for parks and reserves</t>
  </si>
  <si>
    <t>GIS expenditure for individual activities unable to extract. Council classfication excludes econ development, property, ports for post 2005</t>
  </si>
  <si>
    <t>GIS utilitiy figures not broken down-urban services &amp; reserves all one total-includes water,sewerage, stormwater, waste &amp; reserves</t>
  </si>
  <si>
    <t>C64</t>
  </si>
  <si>
    <t>GIS Pest control and environmental monitoring combined post 1992</t>
  </si>
  <si>
    <t>Marlborough</t>
  </si>
  <si>
    <t>C22</t>
  </si>
  <si>
    <t>Tasman</t>
  </si>
  <si>
    <t>MAR  unsure if operating revenue can be broken down 1996 to 2000</t>
  </si>
  <si>
    <t>MAR-other services included in community services along with commercial-which includes property</t>
  </si>
  <si>
    <t>MAR-rivers &amp; drainage include in other exps</t>
  </si>
  <si>
    <t>MAR - post 2001 includes property in community services</t>
  </si>
  <si>
    <t>MAR - post 2005 sewerage revenue includes subsidies</t>
  </si>
  <si>
    <t>MAR-UNSURE IF SOME UTILITIES INCOME IS RATES OR USER CHARGES</t>
  </si>
  <si>
    <t>MAR - cannot differentiate between general and separated rates see worksheet</t>
  </si>
  <si>
    <t>MAR-harbour control &amp; commercial property added to community resources &amp; land transport loaded as roading</t>
  </si>
  <si>
    <t>TAS District Council- Roads &amp; parks expense of 650K in 1996 included in community facilities</t>
  </si>
  <si>
    <t>TAS-roads &amp; parks fee of 714 added into community services</t>
  </si>
  <si>
    <t>TAS-water metred added into rates</t>
  </si>
  <si>
    <t>TAS District Council-Asset development revenue not included-only income &amp; expenditure from operations.</t>
  </si>
  <si>
    <t>TAS-sewerage &amp; refuse income is combined under utitlities for 1994 back-unable to separate</t>
  </si>
  <si>
    <t>Nelson</t>
  </si>
  <si>
    <t>NLS-community support &amp; special purpose facilities loaded as community services</t>
  </si>
  <si>
    <t xml:space="preserve">NLS - drainage and sewerage combined </t>
  </si>
  <si>
    <t>NLS - post 2001 community services also captures business devo</t>
  </si>
  <si>
    <t>NLS-no breakdown given for rates 1995 back</t>
  </si>
  <si>
    <t>MASTER TABLE</t>
  </si>
  <si>
    <t>REGIONAL</t>
  </si>
  <si>
    <t>Auckland Regional Council</t>
  </si>
  <si>
    <t>x</t>
  </si>
  <si>
    <t>Canterbury Regional Council (env)</t>
  </si>
  <si>
    <t>Hawke's Bay Regional Council</t>
  </si>
  <si>
    <t>Manawatu-Wanganui Regional Council</t>
  </si>
  <si>
    <t>Northland Regional Council</t>
  </si>
  <si>
    <t>Otago Regional Council</t>
  </si>
  <si>
    <t>Taranaki Regional Council</t>
  </si>
  <si>
    <t>Waikato Regional Council (env)</t>
  </si>
  <si>
    <t>Wellington Regional Council</t>
  </si>
  <si>
    <t>West Coast Regional Council</t>
  </si>
  <si>
    <t xml:space="preserve">Gisborne City Council </t>
  </si>
  <si>
    <t>=C18</t>
  </si>
  <si>
    <t>=C24</t>
  </si>
  <si>
    <t>=C36</t>
  </si>
  <si>
    <t>=C48</t>
  </si>
  <si>
    <t>=C42</t>
  </si>
  <si>
    <t>=C30</t>
  </si>
  <si>
    <t>Raw</t>
  </si>
  <si>
    <t xml:space="preserve"> Mostly Raw</t>
  </si>
  <si>
    <t>Derived</t>
  </si>
  <si>
    <t>=C72-SUM(C62:C68)</t>
  </si>
  <si>
    <t>=SUM(C18,C24,C30,C36,C42,C48)</t>
  </si>
  <si>
    <t>=SUM(C19,C25,C31,C37,C43,C49)</t>
  </si>
  <si>
    <t>=SUM(C20,C26,C32,C38,C44,C50)</t>
  </si>
  <si>
    <t>=SUM(C21,C27,C33,C39,C45,C51)</t>
  </si>
  <si>
    <t>=C59-C55-C15</t>
  </si>
  <si>
    <t>=C50-C68</t>
  </si>
  <si>
    <t>=SUM(C48:C49)</t>
  </si>
  <si>
    <t>=C44-C67</t>
  </si>
  <si>
    <t>=SUM(C42:C43)</t>
  </si>
  <si>
    <t>=C38-C66</t>
  </si>
  <si>
    <t>=SUM(C36:C37)</t>
  </si>
  <si>
    <t>=SUM(C30:C31)</t>
  </si>
  <si>
    <t>=SUM(C24:C25)</t>
  </si>
  <si>
    <t>=SUM(C18:C19)</t>
  </si>
  <si>
    <t>Mostly Derived</t>
  </si>
  <si>
    <t>Nature of Data</t>
  </si>
  <si>
    <t>Formula, if Derived</t>
  </si>
  <si>
    <t>Derived via raw</t>
  </si>
  <si>
    <t>=total group - total council expenditure (raw)</t>
  </si>
  <si>
    <t>=C32-cost of refuse</t>
  </si>
  <si>
    <t>=C32-cost of sewerage</t>
  </si>
  <si>
    <t>=C32-C65</t>
  </si>
  <si>
    <t>=C13+C14+C5</t>
  </si>
  <si>
    <t>=sum(C6:C12) or =C15-C14-C5</t>
  </si>
  <si>
    <t>=C15-C14-C13</t>
  </si>
  <si>
    <t>Both</t>
  </si>
  <si>
    <t>= total council expenditure (Raw) - SUM(F62:F68)</t>
  </si>
  <si>
    <t>Supplies only, but sometimes water quality is unavoidably combined with supplies</t>
  </si>
  <si>
    <t>River management, land drainage, flood protection and flood risk</t>
  </si>
  <si>
    <t>Sewerage, refuse, and in some cases, storm water.</t>
  </si>
  <si>
    <t xml:space="preserve">Non permissable revenue includes transfer in reserves, unexpected rates funding, general funds, general rates, contributions to schemes, capital receipts, gratuity reserves.  </t>
  </si>
  <si>
    <t xml:space="preserve">Permissable other revenue - interest income, external recoveries, separated or works rates, local contributions, rental income, grants and subsidies. </t>
  </si>
  <si>
    <t>Special Comments</t>
  </si>
  <si>
    <t>Business units, loans, dividends, elimination of internal transactions</t>
  </si>
  <si>
    <t>Revenue</t>
  </si>
  <si>
    <t>Total figures for revenue, rates and equity are highly consistent. Where applicable, separated rates, remissions, general rates are also strongly reliable.</t>
  </si>
  <si>
    <t>Given the constitutional role of regional councils, in some cases all of the rates revenue is raised via targeted rates and no general rates are levied.</t>
  </si>
  <si>
    <t>Isolating operating revenue from a general pool of funds, as with Local Councils, is problematic. Other operating revenue is more explicitly defined for this dataset.</t>
  </si>
  <si>
    <t xml:space="preserve">Non-permissible revenue includes transfer in reserves, unexpected rates funding, general funds, general rates, contributions to schemes, capital receipts, gratuity reserves.  Permissible other revenue - interest income, external recoveries, local contributions, rental and sundry income, grants and subsidies. </t>
  </si>
  <si>
    <r>
      <t>Expenditure</t>
    </r>
    <r>
      <rPr>
        <sz val="11"/>
        <color indexed="8"/>
        <rFont val="Arial"/>
        <family val="2"/>
      </rPr>
      <t xml:space="preserve"> </t>
    </r>
  </si>
  <si>
    <t xml:space="preserve">The three new categories of expenditure – rivers &amp; drainage, monitoring, and bio-security were created because local and regional councils are required to provide different services. </t>
  </si>
  <si>
    <t xml:space="preserve">All categories for local councils are used as fields in regional councils. However, these are not always appropriate to fill. For example, water quality is not comparable to water supply, and therefore is grouped under monitoring services. </t>
  </si>
  <si>
    <t>Sewerage, refuse and water data appear in unitary councils as expected. In rare cases, such as that of Auckland or Wellington, the regional authority supplies bulk water to local councils or performs waste disposal for the region.</t>
  </si>
  <si>
    <t>Rivers, flood control and drainage figures are also reliable but in some cases are combined with emergency management.</t>
  </si>
  <si>
    <t xml:space="preserve">Environmental monitoring exhibits considerable overlap with pest control, and general planning (as opposed to capturing only resource monitoring schemes). </t>
  </si>
  <si>
    <t>In most cases, roading captures regional planning for transport, or regional goods such as a district bus service or cycle ways. In some cases, roadings costs reflect the supply of passenger transport and road works.  With this in mind, roading is not directly comparable between TLAs and regional councils</t>
  </si>
  <si>
    <t>Data Description</t>
  </si>
  <si>
    <t>General Issues</t>
  </si>
  <si>
    <t>Observations about the datset</t>
  </si>
  <si>
    <t>Master Sheet</t>
  </si>
  <si>
    <t>Annual reports used/available</t>
  </si>
  <si>
    <t>List of Data</t>
  </si>
  <si>
    <t>Councils A to Z</t>
  </si>
  <si>
    <t xml:space="preserve">Catalogue of accompanying notes - filter by council name, rows affected </t>
  </si>
  <si>
    <t>CROSS REFERENCE OF LOCAL FINANCE INFORMATION</t>
  </si>
  <si>
    <t xml:space="preserve">Both Statistics NZ tables are freely downloadable from Statistics NZ at http://www.stats.govt.nz/datasets/govt-finance/local-authority-financial-statistics-by-council.htm </t>
  </si>
  <si>
    <t>Fields of Information</t>
  </si>
  <si>
    <t>Motu</t>
  </si>
  <si>
    <t>Stats NZ (1a)</t>
  </si>
  <si>
    <t>Stats NZ   (2)</t>
  </si>
  <si>
    <t>Stats NZ (1b)</t>
  </si>
  <si>
    <t>Local and regional authorities</t>
  </si>
  <si>
    <t>ü</t>
  </si>
  <si>
    <t>Time frames</t>
  </si>
  <si>
    <t>1991 - 2008</t>
  </si>
  <si>
    <t>1993-2007</t>
  </si>
  <si>
    <t>2004-2007</t>
  </si>
  <si>
    <t>2000-2007</t>
  </si>
  <si>
    <t>Rates breakdown – general, UAC, remissions, penalties</t>
  </si>
  <si>
    <t>Separated rates – key utilities only</t>
  </si>
  <si>
    <t>Total rates</t>
  </si>
  <si>
    <t>Operating revenue – separated rates, ‘other’</t>
  </si>
  <si>
    <t>Operating revenue – rates, grants, regulatory, ‘other’</t>
  </si>
  <si>
    <t>Operating expenditure – employee, interest, depreciation, grants paid, ‘other.</t>
  </si>
  <si>
    <t xml:space="preserve">Total expenditure – employee costs, interests, depreciation sales, subsidies </t>
  </si>
  <si>
    <t xml:space="preserve">Total expenditure – council, consolidated </t>
  </si>
  <si>
    <t>Breakdown of assets, liabilities and cash deposits</t>
  </si>
  <si>
    <t xml:space="preserve">Equity </t>
  </si>
  <si>
    <t xml:space="preserve">? Unsure if rates under each service are allocations of a general rate (as is often reported in annual reports), allocations of a separated rate for a group of activities, or a separated rate unique to a particular service. </t>
  </si>
  <si>
    <t xml:space="preserve"> </t>
  </si>
  <si>
    <r>
      <t xml:space="preserve">Statistics New Zealand </t>
    </r>
    <r>
      <rPr>
        <sz val="8"/>
        <rFont val="Verdana"/>
        <family val="2"/>
      </rPr>
      <t>(See chart below.)</t>
    </r>
  </si>
  <si>
    <r>
      <t>?</t>
    </r>
    <r>
      <rPr>
        <b/>
        <sz val="14"/>
        <color indexed="57"/>
        <rFont val="Verdana"/>
        <family val="2"/>
      </rPr>
      <t xml:space="preserve"> </t>
    </r>
    <r>
      <rPr>
        <b/>
        <sz val="14"/>
        <color indexed="57"/>
        <rFont val="Wingdings"/>
        <family val="0"/>
      </rPr>
      <t>ü</t>
    </r>
  </si>
  <si>
    <r>
      <t xml:space="preserve">Datasets 1a &amp; 1b refer to Pivot Table 1 &amp; 2 in </t>
    </r>
    <r>
      <rPr>
        <u val="single"/>
        <sz val="8"/>
        <rFont val="Verdana"/>
        <family val="2"/>
      </rPr>
      <t>Individual local authority statistics, operating revenue and expenditure, year ended June</t>
    </r>
    <r>
      <rPr>
        <sz val="8"/>
        <rFont val="Verdana"/>
        <family val="2"/>
      </rPr>
      <t xml:space="preserve">. (Excel, 863KB) Dataset 2 Refers to </t>
    </r>
    <r>
      <rPr>
        <u val="single"/>
        <sz val="8"/>
        <rFont val="Verdana"/>
        <family val="2"/>
      </rPr>
      <t>Individual local authority statistics, balance sheet items and capital transactions, year ended June.</t>
    </r>
    <r>
      <rPr>
        <sz val="8"/>
        <rFont val="Verdana"/>
        <family val="2"/>
      </rPr>
      <t xml:space="preserve"> (Excel, 1.4MB)</t>
    </r>
  </si>
  <si>
    <t>Cross reference of information offered by Motu and Statistics NZ</t>
  </si>
  <si>
    <t>Information in each cell and formulas used in Motu's Public Finance dataset</t>
  </si>
  <si>
    <t>Key Issues</t>
  </si>
  <si>
    <t xml:space="preserve">x </t>
  </si>
  <si>
    <t>missing or not available</t>
  </si>
  <si>
    <t>Sewerage rates</t>
  </si>
  <si>
    <t>Sewerage, stormwater, refuse</t>
  </si>
  <si>
    <t>Datasets</t>
  </si>
  <si>
    <t>RegionTemp</t>
  </si>
  <si>
    <t>Template for entering data</t>
  </si>
  <si>
    <t>Highly consistent</t>
  </si>
  <si>
    <t>Total rates, total expenditures, total revenues, other non council expenditures</t>
  </si>
  <si>
    <t>Consistent</t>
  </si>
  <si>
    <t>Separated rates (if rates are not combined with others e.g. Drainage and monitoring )</t>
  </si>
  <si>
    <t>Three new regional services - environmental monitoring, drainage and flood control, and pest control/biosecurity.</t>
  </si>
  <si>
    <t>Note that only unitary authorities still partake in local council services e.g. Water supply, waste management</t>
  </si>
  <si>
    <t>Inconsistent</t>
  </si>
  <si>
    <t>Environmental monitoring - considerable overlap with planning and compliance, community services and pest control</t>
  </si>
  <si>
    <t>Community services - often unable to extract community expenditure from other services</t>
  </si>
  <si>
    <t>Transport - some council spend it on transport planning only, others provide passenger transport and roading services</t>
  </si>
  <si>
    <t>Drainage/flood control data - not all councils spend on flood protection as heavily</t>
  </si>
  <si>
    <t>Pest control (not so applicable to urban regional councils, and only if not combined with environmental monitoring)</t>
  </si>
  <si>
    <t xml:space="preserve">Total figures for expenditure on pest control, council and consolidated expenses are all highly consistent. </t>
  </si>
  <si>
    <t>SUMMARY</t>
  </si>
  <si>
    <t>Water, refuse, wastes - unitary figures are consistent. But other councils engage in local council services in early 1990s and then discontinue.</t>
  </si>
  <si>
    <t>Motu Local Public Finance Dataset is freely found via www.motu.org.nz</t>
  </si>
  <si>
    <r>
      <t xml:space="preserve">Notably, Statistics NZ includes total </t>
    </r>
    <r>
      <rPr>
        <b/>
        <sz val="8"/>
        <rFont val="Verdana"/>
        <family val="2"/>
      </rPr>
      <t>operating</t>
    </r>
    <r>
      <rPr>
        <sz val="8"/>
        <rFont val="Verdana"/>
        <family val="2"/>
      </rPr>
      <t xml:space="preserve"> revenues and expenditures whereas Motu includes total revenue and expenditures.</t>
    </r>
  </si>
  <si>
    <t>Rates quoted in Stats NZ (1a) are also devoid of penalities and may sometimes include service charges. Thus data from these datasets may appear to be inconsistent.</t>
  </si>
  <si>
    <r>
      <t>ü</t>
    </r>
    <r>
      <rPr>
        <b/>
        <sz val="14"/>
        <color indexed="8"/>
        <rFont val="Calibri"/>
        <family val="2"/>
      </rPr>
      <t>*</t>
    </r>
  </si>
  <si>
    <t>Total operating revenue by funding mechanisms</t>
  </si>
  <si>
    <r>
      <t>ü</t>
    </r>
    <r>
      <rPr>
        <b/>
        <sz val="14"/>
        <color indexed="8"/>
        <rFont val="Calibri"/>
        <family val="2"/>
      </rPr>
      <t>~</t>
    </r>
  </si>
  <si>
    <t xml:space="preserve">Total revenue </t>
  </si>
  <si>
    <t>Revenue by service</t>
  </si>
  <si>
    <r>
      <t>ü</t>
    </r>
    <r>
      <rPr>
        <b/>
        <sz val="14"/>
        <color indexed="8"/>
        <rFont val="Calibri"/>
        <family val="2"/>
      </rPr>
      <t>^</t>
    </r>
  </si>
  <si>
    <t>Total expenditure – council service groups</t>
  </si>
  <si>
    <t>* The total rates in Statistics NZ exclude penalities, remissions unlike Motu's dataset (but are adjusted for internal council rates)</t>
  </si>
  <si>
    <t xml:space="preserve">~ For example, Stats NZ excludes revenue from vested assets, gain on sales of assets or shares. Similarly, loss on asset revaluations or shares are excluded from total operating expenditure but included in Motu datasets. </t>
  </si>
  <si>
    <t>^ Revenue by service for key services only i.e. Water, refuse, sewerage, environmental monitoring, biosecurity, rivers &amp; drainage</t>
  </si>
  <si>
    <t>Many regional activities are not strictly contingent on the growth of society e.g. monitoring, bio-security, flood control are more independent of population growth than water supply, wastewater and refuse services. This makes regional data a lot more variable than local council data.</t>
  </si>
  <si>
    <t>Whereas many local council activities have natural boundaries on how data can be grouped (e.g. Water supply), these are more fluid for regional services (e.g. Planning and monitoring). Regional data is more vulnerable to inconsistencies in how councils choose to present their financial information.</t>
  </si>
  <si>
    <t>In many cases, operating revenue is distorted by large grants and central government assistance. For example, irregular and large amounts of funding is provided for Bovine TB control.</t>
  </si>
  <si>
    <t xml:space="preserve">This is a diverse dataset that may exhibit illusory trends. That is, large variation in data may not be due to a real factor, but may reflect a change in ways financial information is grouped and presented. </t>
  </si>
  <si>
    <t>Important Notes</t>
  </si>
  <si>
    <r>
      <t xml:space="preserve">Data notes are searchable by council, and the type of problem as indicated </t>
    </r>
    <r>
      <rPr>
        <b/>
        <sz val="11"/>
        <color indexed="8"/>
        <rFont val="Arial"/>
        <family val="2"/>
      </rPr>
      <t>(approximately)</t>
    </r>
    <r>
      <rPr>
        <sz val="11"/>
        <color indexed="8"/>
        <rFont val="Arial"/>
        <family val="2"/>
      </rPr>
      <t xml:space="preserve"> by row number. Comment boxes and red zones in raw data reveal the nature of an inconsistency, and how long it has lasted. </t>
    </r>
  </si>
  <si>
    <t>All figures are before tax, gross figures not net figures, in units of $000s, and adjusted internally. Data are collected from Annual Reports of councils released annually.</t>
  </si>
  <si>
    <t>Since consistency here depends on how information is presented, inconsistency refers to both within and between councils when their methods of presentation change.</t>
  </si>
  <si>
    <t>Bay of Plenty Regional Council (env)</t>
  </si>
  <si>
    <t>Southland Regional Council (env)</t>
  </si>
  <si>
    <t>unitary authorities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</si>
</sst>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00000"/>
  </numFmts>
  <fonts count="91">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sz val="10"/>
      <color indexed="17"/>
      <name val="Times New Roman"/>
      <family val="1"/>
    </font>
    <font>
      <sz val="9"/>
      <name val="Tahoma"/>
      <family val="2"/>
    </font>
    <font>
      <b/>
      <sz val="9"/>
      <name val="Tahoma"/>
      <family val="2"/>
    </font>
    <font>
      <b/>
      <sz val="10"/>
      <name val="Arial"/>
      <family val="2"/>
    </font>
    <font>
      <sz val="10"/>
      <color indexed="10"/>
      <name val="Times New Roman"/>
      <family val="1"/>
    </font>
    <font>
      <b/>
      <sz val="10"/>
      <color indexed="10"/>
      <name val="Times New Roman"/>
      <family val="1"/>
    </font>
    <font>
      <b/>
      <u val="single"/>
      <sz val="10"/>
      <name val="Arial"/>
      <family val="2"/>
    </font>
    <font>
      <u val="single"/>
      <sz val="10"/>
      <name val="Arial"/>
      <family val="2"/>
    </font>
    <font>
      <b/>
      <sz val="8"/>
      <name val="Tahoma"/>
      <family val="2"/>
    </font>
    <font>
      <sz val="8"/>
      <name val="Tahoma"/>
      <family val="2"/>
    </font>
    <font>
      <sz val="10"/>
      <color indexed="17"/>
      <name val="Times New Roman"/>
      <family val="1"/>
    </font>
    <font>
      <sz val="10"/>
      <color indexed="8"/>
      <name val="Times New Roman"/>
      <family val="1"/>
    </font>
    <font>
      <b/>
      <sz val="10"/>
      <color indexed="8"/>
      <name val="Times New Roman"/>
      <family val="1"/>
    </font>
    <font>
      <b/>
      <sz val="10"/>
      <color indexed="10"/>
      <name val="Arial"/>
      <family val="2"/>
    </font>
    <font>
      <sz val="10"/>
      <color indexed="10"/>
      <name val="Arial"/>
      <family val="2"/>
    </font>
    <font>
      <i/>
      <sz val="11"/>
      <color indexed="8"/>
      <name val="Calibri"/>
      <family val="2"/>
    </font>
    <font>
      <b/>
      <u val="single"/>
      <sz val="11"/>
      <color indexed="8"/>
      <name val="Calibri"/>
      <family val="2"/>
    </font>
    <font>
      <b/>
      <sz val="10"/>
      <color indexed="9"/>
      <name val="Arial"/>
      <family val="2"/>
    </font>
    <font>
      <b/>
      <sz val="10"/>
      <color indexed="13"/>
      <name val="Times New Roman"/>
      <family val="1"/>
    </font>
    <font>
      <sz val="9"/>
      <name val="Calibri"/>
      <family val="2"/>
    </font>
    <font>
      <sz val="9"/>
      <color indexed="56"/>
      <name val="Calibri"/>
      <family val="2"/>
    </font>
    <font>
      <sz val="9"/>
      <color indexed="8"/>
      <name val="Calibri"/>
      <family val="2"/>
    </font>
    <font>
      <b/>
      <sz val="8"/>
      <color indexed="9"/>
      <name val="Verdana"/>
      <family val="2"/>
    </font>
    <font>
      <sz val="8"/>
      <name val="Verdana"/>
      <family val="2"/>
    </font>
    <font>
      <b/>
      <u val="single"/>
      <sz val="8"/>
      <name val="Verdana"/>
      <family val="2"/>
    </font>
    <font>
      <b/>
      <sz val="8"/>
      <name val="Verdana"/>
      <family val="2"/>
    </font>
    <font>
      <b/>
      <sz val="10"/>
      <color indexed="10"/>
      <name val="Verdana"/>
      <family val="2"/>
    </font>
    <font>
      <b/>
      <sz val="9"/>
      <name val="Times New Roman"/>
      <family val="1"/>
    </font>
    <font>
      <sz val="9"/>
      <name val="Arial"/>
      <family val="2"/>
    </font>
    <font>
      <sz val="9"/>
      <name val="Times New Roman"/>
      <family val="1"/>
    </font>
    <font>
      <b/>
      <sz val="9"/>
      <color indexed="8"/>
      <name val="Times New Roman"/>
      <family val="1"/>
    </font>
    <font>
      <b/>
      <sz val="9"/>
      <color indexed="17"/>
      <name val="Times New Roman"/>
      <family val="1"/>
    </font>
    <font>
      <b/>
      <u val="single"/>
      <sz val="11"/>
      <color indexed="8"/>
      <name val="Arial"/>
      <family val="2"/>
    </font>
    <font>
      <sz val="11"/>
      <color indexed="8"/>
      <name val="Arial"/>
      <family val="2"/>
    </font>
    <font>
      <i/>
      <sz val="11"/>
      <color indexed="8"/>
      <name val="Arial"/>
      <family val="2"/>
    </font>
    <font>
      <b/>
      <u val="single"/>
      <sz val="8"/>
      <color indexed="9"/>
      <name val="Verdana"/>
      <family val="2"/>
    </font>
    <font>
      <sz val="8"/>
      <color indexed="57"/>
      <name val="Verdana"/>
      <family val="2"/>
    </font>
    <font>
      <sz val="10"/>
      <color indexed="57"/>
      <name val="Arial"/>
      <family val="2"/>
    </font>
    <font>
      <u val="single"/>
      <sz val="8"/>
      <name val="Verdana"/>
      <family val="2"/>
    </font>
    <font>
      <b/>
      <sz val="14"/>
      <color indexed="57"/>
      <name val="Wingdings"/>
      <family val="0"/>
    </font>
    <font>
      <sz val="12"/>
      <name val="Times New Roman"/>
      <family val="1"/>
    </font>
    <font>
      <b/>
      <sz val="14"/>
      <color indexed="57"/>
      <name val="Verdana"/>
      <family val="2"/>
    </font>
    <font>
      <b/>
      <sz val="20"/>
      <name val="Calibri"/>
      <family val="2"/>
    </font>
    <font>
      <b/>
      <sz val="8"/>
      <color indexed="10"/>
      <name val="Verdana"/>
      <family val="2"/>
    </font>
    <font>
      <sz val="8"/>
      <color indexed="10"/>
      <name val="Verdana"/>
      <family val="2"/>
    </font>
    <font>
      <b/>
      <sz val="14"/>
      <color indexed="8"/>
      <name val="Calibri"/>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FF0000"/>
      <name val="Times New Roman"/>
      <family val="1"/>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52"/>
        <bgColor indexed="64"/>
      </patternFill>
    </fill>
    <fill>
      <patternFill patternType="solid">
        <fgColor indexed="46"/>
        <bgColor indexed="64"/>
      </patternFill>
    </fill>
    <fill>
      <patternFill patternType="solid">
        <fgColor indexed="8"/>
        <bgColor indexed="64"/>
      </patternFill>
    </fill>
    <fill>
      <patternFill patternType="solid">
        <fgColor indexed="58"/>
        <bgColor indexed="64"/>
      </patternFill>
    </fill>
    <fill>
      <patternFill patternType="solid">
        <fgColor indexed="3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84" fillId="27" borderId="8" applyNumberFormat="0" applyAlignment="0" applyProtection="0"/>
    <xf numFmtId="9" fontId="1"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93">
    <xf numFmtId="0" fontId="0" fillId="0" borderId="0" xfId="0" applyFont="1" applyAlignment="1">
      <alignment/>
    </xf>
    <xf numFmtId="0" fontId="2" fillId="0" borderId="0" xfId="57">
      <alignment/>
      <protection/>
    </xf>
    <xf numFmtId="0" fontId="3" fillId="0" borderId="0" xfId="57" applyFont="1">
      <alignment/>
      <protection/>
    </xf>
    <xf numFmtId="0" fontId="4" fillId="33" borderId="10" xfId="57" applyFont="1" applyFill="1" applyBorder="1">
      <alignment/>
      <protection/>
    </xf>
    <xf numFmtId="0" fontId="4" fillId="33" borderId="11" xfId="57" applyFont="1" applyFill="1" applyBorder="1">
      <alignment/>
      <protection/>
    </xf>
    <xf numFmtId="0" fontId="3" fillId="0" borderId="12" xfId="57" applyFont="1" applyBorder="1">
      <alignment/>
      <protection/>
    </xf>
    <xf numFmtId="0" fontId="4" fillId="34" borderId="10" xfId="57" applyFont="1" applyFill="1" applyBorder="1">
      <alignment/>
      <protection/>
    </xf>
    <xf numFmtId="0" fontId="4" fillId="34" borderId="11" xfId="57" applyFont="1" applyFill="1" applyBorder="1">
      <alignment/>
      <protection/>
    </xf>
    <xf numFmtId="0" fontId="3" fillId="35" borderId="10" xfId="57" applyFont="1" applyFill="1" applyBorder="1">
      <alignment/>
      <protection/>
    </xf>
    <xf numFmtId="0" fontId="3" fillId="35" borderId="11" xfId="57" applyFont="1" applyFill="1" applyBorder="1">
      <alignment/>
      <protection/>
    </xf>
    <xf numFmtId="0" fontId="3" fillId="36" borderId="10" xfId="57" applyFont="1" applyFill="1" applyBorder="1">
      <alignment/>
      <protection/>
    </xf>
    <xf numFmtId="0" fontId="3" fillId="36" borderId="11" xfId="57" applyFont="1" applyFill="1" applyBorder="1">
      <alignment/>
      <protection/>
    </xf>
    <xf numFmtId="0" fontId="3" fillId="37" borderId="12" xfId="57" applyFont="1" applyFill="1" applyBorder="1">
      <alignment/>
      <protection/>
    </xf>
    <xf numFmtId="0" fontId="3" fillId="37" borderId="0" xfId="57" applyFont="1" applyFill="1">
      <alignment/>
      <protection/>
    </xf>
    <xf numFmtId="0" fontId="3" fillId="38" borderId="10" xfId="57" applyFont="1" applyFill="1" applyBorder="1">
      <alignment/>
      <protection/>
    </xf>
    <xf numFmtId="0" fontId="3" fillId="38" borderId="11" xfId="57" applyFont="1" applyFill="1" applyBorder="1">
      <alignment/>
      <protection/>
    </xf>
    <xf numFmtId="0" fontId="4" fillId="39" borderId="10" xfId="57" applyFont="1" applyFill="1" applyBorder="1">
      <alignment/>
      <protection/>
    </xf>
    <xf numFmtId="0" fontId="4" fillId="39" borderId="11" xfId="57" applyFont="1" applyFill="1" applyBorder="1">
      <alignment/>
      <protection/>
    </xf>
    <xf numFmtId="0" fontId="5" fillId="0" borderId="12" xfId="57" applyFont="1" applyBorder="1">
      <alignment/>
      <protection/>
    </xf>
    <xf numFmtId="0" fontId="4" fillId="0" borderId="10" xfId="57" applyFont="1" applyBorder="1">
      <alignment/>
      <protection/>
    </xf>
    <xf numFmtId="0" fontId="4" fillId="0" borderId="11" xfId="57" applyFont="1" applyBorder="1">
      <alignment/>
      <protection/>
    </xf>
    <xf numFmtId="0" fontId="3" fillId="38" borderId="12" xfId="57" applyFont="1" applyFill="1" applyBorder="1">
      <alignment/>
      <protection/>
    </xf>
    <xf numFmtId="0" fontId="3" fillId="38" borderId="0" xfId="57" applyFont="1" applyFill="1" applyBorder="1">
      <alignment/>
      <protection/>
    </xf>
    <xf numFmtId="0" fontId="4" fillId="40" borderId="10" xfId="57" applyFont="1" applyFill="1" applyBorder="1">
      <alignment/>
      <protection/>
    </xf>
    <xf numFmtId="0" fontId="4" fillId="40" borderId="11" xfId="57" applyFont="1" applyFill="1" applyBorder="1">
      <alignment/>
      <protection/>
    </xf>
    <xf numFmtId="0" fontId="4" fillId="40" borderId="13" xfId="57" applyFont="1" applyFill="1" applyBorder="1" applyAlignment="1">
      <alignment wrapText="1"/>
      <protection/>
    </xf>
    <xf numFmtId="0" fontId="5" fillId="0" borderId="14" xfId="57" applyFont="1" applyBorder="1">
      <alignment/>
      <protection/>
    </xf>
    <xf numFmtId="0" fontId="5" fillId="0" borderId="15" xfId="57" applyFont="1" applyBorder="1">
      <alignment/>
      <protection/>
    </xf>
    <xf numFmtId="0" fontId="4" fillId="0" borderId="12" xfId="57" applyFont="1" applyBorder="1">
      <alignment/>
      <protection/>
    </xf>
    <xf numFmtId="0" fontId="4" fillId="0" borderId="0" xfId="57" applyFont="1" applyBorder="1">
      <alignment/>
      <protection/>
    </xf>
    <xf numFmtId="0" fontId="3" fillId="0" borderId="0" xfId="57" applyFont="1" applyBorder="1">
      <alignment/>
      <protection/>
    </xf>
    <xf numFmtId="0" fontId="4" fillId="35" borderId="10" xfId="57" applyFont="1" applyFill="1" applyBorder="1">
      <alignment/>
      <protection/>
    </xf>
    <xf numFmtId="0" fontId="4" fillId="35" borderId="11" xfId="57" applyFont="1" applyFill="1" applyBorder="1">
      <alignment/>
      <protection/>
    </xf>
    <xf numFmtId="0" fontId="4" fillId="35" borderId="13" xfId="57" applyFont="1" applyFill="1" applyBorder="1" applyAlignment="1">
      <alignment wrapText="1"/>
      <protection/>
    </xf>
    <xf numFmtId="0" fontId="5" fillId="0" borderId="10" xfId="57" applyFont="1" applyBorder="1">
      <alignment/>
      <protection/>
    </xf>
    <xf numFmtId="0" fontId="5" fillId="0" borderId="11" xfId="57" applyFont="1" applyBorder="1">
      <alignment/>
      <protection/>
    </xf>
    <xf numFmtId="0" fontId="4" fillId="37" borderId="10" xfId="57" applyFont="1" applyFill="1" applyBorder="1">
      <alignment/>
      <protection/>
    </xf>
    <xf numFmtId="0" fontId="4" fillId="37" borderId="11" xfId="57" applyFont="1" applyFill="1" applyBorder="1">
      <alignment/>
      <protection/>
    </xf>
    <xf numFmtId="0" fontId="4" fillId="37" borderId="13" xfId="57" applyFont="1" applyFill="1" applyBorder="1" applyAlignment="1">
      <alignment wrapText="1"/>
      <protection/>
    </xf>
    <xf numFmtId="0" fontId="4" fillId="36" borderId="10" xfId="57" applyFont="1" applyFill="1" applyBorder="1">
      <alignment/>
      <protection/>
    </xf>
    <xf numFmtId="0" fontId="4" fillId="36" borderId="11" xfId="57" applyFont="1" applyFill="1" applyBorder="1">
      <alignment/>
      <protection/>
    </xf>
    <xf numFmtId="0" fontId="4" fillId="36" borderId="13" xfId="57" applyFont="1" applyFill="1" applyBorder="1" applyAlignment="1">
      <alignment wrapText="1"/>
      <protection/>
    </xf>
    <xf numFmtId="0" fontId="4" fillId="0" borderId="0" xfId="57" applyFont="1">
      <alignment/>
      <protection/>
    </xf>
    <xf numFmtId="0" fontId="4" fillId="38" borderId="12" xfId="57" applyFont="1" applyFill="1" applyBorder="1">
      <alignment/>
      <protection/>
    </xf>
    <xf numFmtId="0" fontId="4" fillId="38" borderId="0" xfId="57" applyFont="1" applyFill="1">
      <alignment/>
      <protection/>
    </xf>
    <xf numFmtId="0" fontId="4" fillId="38" borderId="16" xfId="57" applyFont="1" applyFill="1" applyBorder="1" applyAlignment="1">
      <alignment wrapText="1"/>
      <protection/>
    </xf>
    <xf numFmtId="0" fontId="4" fillId="0" borderId="16" xfId="57" applyFont="1" applyBorder="1" applyAlignment="1">
      <alignment wrapText="1"/>
      <protection/>
    </xf>
    <xf numFmtId="0" fontId="3" fillId="0" borderId="16" xfId="57" applyFont="1" applyBorder="1" applyAlignment="1">
      <alignment wrapText="1"/>
      <protection/>
    </xf>
    <xf numFmtId="0" fontId="4" fillId="39" borderId="13" xfId="57" applyFont="1" applyFill="1" applyBorder="1" applyAlignment="1">
      <alignment wrapText="1"/>
      <protection/>
    </xf>
    <xf numFmtId="0" fontId="5" fillId="0" borderId="17" xfId="57" applyFont="1" applyBorder="1" applyAlignment="1">
      <alignment wrapText="1"/>
      <protection/>
    </xf>
    <xf numFmtId="0" fontId="5" fillId="0" borderId="16" xfId="57" applyFont="1" applyBorder="1" applyAlignment="1">
      <alignment wrapText="1"/>
      <protection/>
    </xf>
    <xf numFmtId="0" fontId="5" fillId="0" borderId="13" xfId="57" applyFont="1" applyBorder="1" applyAlignment="1">
      <alignment wrapText="1"/>
      <protection/>
    </xf>
    <xf numFmtId="0" fontId="3" fillId="0" borderId="16" xfId="57" applyFont="1" applyFill="1" applyBorder="1" applyAlignment="1">
      <alignment wrapText="1"/>
      <protection/>
    </xf>
    <xf numFmtId="0" fontId="3" fillId="38" borderId="12" xfId="57" applyFont="1" applyFill="1" applyBorder="1" applyAlignment="1">
      <alignment wrapText="1"/>
      <protection/>
    </xf>
    <xf numFmtId="0" fontId="4" fillId="0" borderId="13" xfId="57" applyFont="1" applyFill="1" applyBorder="1" applyAlignment="1">
      <alignment wrapText="1"/>
      <protection/>
    </xf>
    <xf numFmtId="0" fontId="5" fillId="0" borderId="12" xfId="57" applyFont="1" applyBorder="1" applyAlignment="1">
      <alignment wrapText="1"/>
      <protection/>
    </xf>
    <xf numFmtId="0" fontId="4" fillId="39" borderId="10" xfId="57" applyFont="1" applyFill="1" applyBorder="1" applyAlignment="1">
      <alignment wrapText="1"/>
      <protection/>
    </xf>
    <xf numFmtId="0" fontId="4" fillId="34" borderId="13" xfId="57" applyFont="1" applyFill="1" applyBorder="1" applyAlignment="1">
      <alignment wrapText="1"/>
      <protection/>
    </xf>
    <xf numFmtId="0" fontId="3" fillId="38" borderId="13" xfId="57" applyFont="1" applyFill="1" applyBorder="1" applyAlignment="1">
      <alignment wrapText="1"/>
      <protection/>
    </xf>
    <xf numFmtId="0" fontId="3" fillId="37" borderId="16" xfId="57" applyFont="1" applyFill="1" applyBorder="1" applyAlignment="1">
      <alignment wrapText="1"/>
      <protection/>
    </xf>
    <xf numFmtId="0" fontId="3" fillId="36" borderId="13" xfId="57" applyFont="1" applyFill="1" applyBorder="1" applyAlignment="1">
      <alignment wrapText="1"/>
      <protection/>
    </xf>
    <xf numFmtId="0" fontId="3" fillId="35" borderId="13" xfId="57" applyFont="1" applyFill="1" applyBorder="1" applyAlignment="1">
      <alignment wrapText="1"/>
      <protection/>
    </xf>
    <xf numFmtId="0" fontId="4" fillId="33" borderId="13" xfId="57" applyFont="1" applyFill="1" applyBorder="1" applyAlignment="1">
      <alignment wrapText="1"/>
      <protection/>
    </xf>
    <xf numFmtId="0" fontId="9" fillId="37" borderId="0" xfId="57" applyFont="1" applyFill="1">
      <alignment/>
      <protection/>
    </xf>
    <xf numFmtId="0" fontId="9" fillId="0" borderId="0" xfId="57" applyFont="1" applyBorder="1">
      <alignment/>
      <protection/>
    </xf>
    <xf numFmtId="0" fontId="3" fillId="0" borderId="18" xfId="57" applyFont="1" applyBorder="1">
      <alignment/>
      <protection/>
    </xf>
    <xf numFmtId="0" fontId="3" fillId="0" borderId="19" xfId="57" applyFont="1" applyBorder="1">
      <alignment/>
      <protection/>
    </xf>
    <xf numFmtId="0" fontId="3" fillId="0" borderId="20" xfId="57" applyFont="1" applyBorder="1">
      <alignment/>
      <protection/>
    </xf>
    <xf numFmtId="0" fontId="3" fillId="38" borderId="21" xfId="57" applyFont="1" applyFill="1" applyBorder="1">
      <alignment/>
      <protection/>
    </xf>
    <xf numFmtId="0" fontId="4" fillId="0" borderId="22" xfId="57" applyFont="1" applyBorder="1">
      <alignment/>
      <protection/>
    </xf>
    <xf numFmtId="0" fontId="5" fillId="0" borderId="21" xfId="57" applyFont="1" applyBorder="1">
      <alignment/>
      <protection/>
    </xf>
    <xf numFmtId="0" fontId="5" fillId="0" borderId="0" xfId="57" applyFont="1" applyBorder="1">
      <alignment/>
      <protection/>
    </xf>
    <xf numFmtId="0" fontId="4" fillId="39" borderId="22" xfId="57" applyFont="1" applyFill="1" applyBorder="1">
      <alignment/>
      <protection/>
    </xf>
    <xf numFmtId="0" fontId="3" fillId="0" borderId="22" xfId="57" applyFont="1" applyBorder="1">
      <alignment/>
      <protection/>
    </xf>
    <xf numFmtId="0" fontId="3" fillId="0" borderId="11" xfId="57" applyFont="1" applyBorder="1">
      <alignment/>
      <protection/>
    </xf>
    <xf numFmtId="0" fontId="3" fillId="0" borderId="10" xfId="57" applyFont="1" applyBorder="1">
      <alignment/>
      <protection/>
    </xf>
    <xf numFmtId="0" fontId="0" fillId="0" borderId="0" xfId="0" applyAlignment="1">
      <alignment horizontal="left" vertical="center" wrapText="1"/>
    </xf>
    <xf numFmtId="0" fontId="0" fillId="0" borderId="0" xfId="0" applyAlignment="1">
      <alignment horizontal="left" vertical="center"/>
    </xf>
    <xf numFmtId="0" fontId="16" fillId="37" borderId="0" xfId="57" applyFont="1" applyFill="1">
      <alignment/>
      <protection/>
    </xf>
    <xf numFmtId="0" fontId="3" fillId="37" borderId="13" xfId="57" applyFont="1" applyFill="1" applyBorder="1" applyAlignment="1">
      <alignment wrapText="1"/>
      <protection/>
    </xf>
    <xf numFmtId="0" fontId="9" fillId="37" borderId="11" xfId="57" applyFont="1" applyFill="1" applyBorder="1">
      <alignment/>
      <protection/>
    </xf>
    <xf numFmtId="0" fontId="16" fillId="37" borderId="11" xfId="57" applyFont="1" applyFill="1" applyBorder="1">
      <alignment/>
      <protection/>
    </xf>
    <xf numFmtId="0" fontId="3" fillId="37" borderId="11" xfId="57" applyFont="1" applyFill="1" applyBorder="1">
      <alignment/>
      <protection/>
    </xf>
    <xf numFmtId="0" fontId="3" fillId="37" borderId="10" xfId="57" applyFont="1" applyFill="1" applyBorder="1">
      <alignment/>
      <protection/>
    </xf>
    <xf numFmtId="0" fontId="10" fillId="38" borderId="0" xfId="57" applyFont="1" applyFill="1">
      <alignment/>
      <protection/>
    </xf>
    <xf numFmtId="0" fontId="9" fillId="0" borderId="12" xfId="57" applyFont="1" applyBorder="1">
      <alignment/>
      <protection/>
    </xf>
    <xf numFmtId="0" fontId="16" fillId="0" borderId="0" xfId="57" applyFont="1">
      <alignment/>
      <protection/>
    </xf>
    <xf numFmtId="0" fontId="16" fillId="0" borderId="12" xfId="57" applyFont="1" applyBorder="1">
      <alignment/>
      <protection/>
    </xf>
    <xf numFmtId="0" fontId="17" fillId="38" borderId="0" xfId="57" applyFont="1" applyFill="1">
      <alignment/>
      <protection/>
    </xf>
    <xf numFmtId="0" fontId="9" fillId="0" borderId="0" xfId="57" applyFont="1">
      <alignment/>
      <protection/>
    </xf>
    <xf numFmtId="0" fontId="16" fillId="0" borderId="0" xfId="57" applyFont="1" applyBorder="1">
      <alignment/>
      <protection/>
    </xf>
    <xf numFmtId="0" fontId="9" fillId="38" borderId="11" xfId="57" applyFont="1" applyFill="1" applyBorder="1">
      <alignment/>
      <protection/>
    </xf>
    <xf numFmtId="0" fontId="9" fillId="36" borderId="11" xfId="57" applyFont="1" applyFill="1" applyBorder="1">
      <alignment/>
      <protection/>
    </xf>
    <xf numFmtId="0" fontId="10" fillId="0" borderId="0" xfId="57" applyFont="1" applyBorder="1">
      <alignment/>
      <protection/>
    </xf>
    <xf numFmtId="0" fontId="10" fillId="0" borderId="11" xfId="57" applyFont="1" applyBorder="1">
      <alignment/>
      <protection/>
    </xf>
    <xf numFmtId="0" fontId="10" fillId="37" borderId="11" xfId="57" applyFont="1" applyFill="1" applyBorder="1">
      <alignment/>
      <protection/>
    </xf>
    <xf numFmtId="0" fontId="10" fillId="40" borderId="11" xfId="57" applyFont="1" applyFill="1" applyBorder="1">
      <alignment/>
      <protection/>
    </xf>
    <xf numFmtId="0" fontId="9" fillId="0" borderId="19" xfId="57" applyFont="1" applyBorder="1">
      <alignment/>
      <protection/>
    </xf>
    <xf numFmtId="0" fontId="9" fillId="38" borderId="0" xfId="57" applyFont="1" applyFill="1" applyBorder="1">
      <alignment/>
      <protection/>
    </xf>
    <xf numFmtId="0" fontId="10" fillId="39" borderId="11" xfId="57" applyFont="1" applyFill="1" applyBorder="1">
      <alignment/>
      <protection/>
    </xf>
    <xf numFmtId="0" fontId="16" fillId="35" borderId="11" xfId="57" applyFont="1" applyFill="1" applyBorder="1">
      <alignment/>
      <protection/>
    </xf>
    <xf numFmtId="0" fontId="16" fillId="0" borderId="11" xfId="57" applyFont="1" applyBorder="1">
      <alignment/>
      <protection/>
    </xf>
    <xf numFmtId="0" fontId="18" fillId="0" borderId="0" xfId="57" applyFont="1">
      <alignment/>
      <protection/>
    </xf>
    <xf numFmtId="0" fontId="9" fillId="37" borderId="12" xfId="57" applyFont="1" applyFill="1" applyBorder="1">
      <alignment/>
      <protection/>
    </xf>
    <xf numFmtId="0" fontId="10" fillId="0" borderId="12" xfId="57" applyFont="1" applyBorder="1">
      <alignment/>
      <protection/>
    </xf>
    <xf numFmtId="0" fontId="10" fillId="0" borderId="10" xfId="57" applyFont="1" applyBorder="1">
      <alignment/>
      <protection/>
    </xf>
    <xf numFmtId="0" fontId="10" fillId="37" borderId="10" xfId="57" applyFont="1" applyFill="1" applyBorder="1">
      <alignment/>
      <protection/>
    </xf>
    <xf numFmtId="0" fontId="10" fillId="40" borderId="10" xfId="57" applyFont="1" applyFill="1" applyBorder="1">
      <alignment/>
      <protection/>
    </xf>
    <xf numFmtId="0" fontId="9" fillId="0" borderId="20" xfId="57" applyFont="1" applyBorder="1">
      <alignment/>
      <protection/>
    </xf>
    <xf numFmtId="0" fontId="9" fillId="38" borderId="12" xfId="57" applyFont="1" applyFill="1" applyBorder="1">
      <alignment/>
      <protection/>
    </xf>
    <xf numFmtId="0" fontId="10" fillId="39" borderId="10" xfId="57" applyFont="1" applyFill="1" applyBorder="1">
      <alignment/>
      <protection/>
    </xf>
    <xf numFmtId="0" fontId="9" fillId="38" borderId="10" xfId="57" applyFont="1" applyFill="1" applyBorder="1">
      <alignment/>
      <protection/>
    </xf>
    <xf numFmtId="0" fontId="9" fillId="36" borderId="10" xfId="57" applyFont="1" applyFill="1" applyBorder="1">
      <alignment/>
      <protection/>
    </xf>
    <xf numFmtId="0" fontId="9" fillId="37" borderId="10" xfId="57" applyFont="1" applyFill="1" applyBorder="1">
      <alignment/>
      <protection/>
    </xf>
    <xf numFmtId="0" fontId="17" fillId="39" borderId="11" xfId="57" applyFont="1" applyFill="1" applyBorder="1">
      <alignment/>
      <protection/>
    </xf>
    <xf numFmtId="0" fontId="17" fillId="39" borderId="10" xfId="57" applyFont="1" applyFill="1" applyBorder="1">
      <alignment/>
      <protection/>
    </xf>
    <xf numFmtId="0" fontId="4" fillId="38" borderId="20" xfId="57" applyFont="1" applyFill="1" applyBorder="1">
      <alignment/>
      <protection/>
    </xf>
    <xf numFmtId="0" fontId="3" fillId="41" borderId="13" xfId="57" applyFont="1" applyFill="1" applyBorder="1" applyAlignment="1">
      <alignment wrapText="1"/>
      <protection/>
    </xf>
    <xf numFmtId="0" fontId="3" fillId="41" borderId="16" xfId="57" applyFont="1" applyFill="1" applyBorder="1" applyAlignment="1">
      <alignment wrapText="1"/>
      <protection/>
    </xf>
    <xf numFmtId="0" fontId="3" fillId="41" borderId="0" xfId="57" applyFont="1" applyFill="1">
      <alignment/>
      <protection/>
    </xf>
    <xf numFmtId="0" fontId="3" fillId="41" borderId="11" xfId="57" applyFont="1" applyFill="1" applyBorder="1">
      <alignment/>
      <protection/>
    </xf>
    <xf numFmtId="0" fontId="9" fillId="41" borderId="0" xfId="57" applyFont="1" applyFill="1">
      <alignment/>
      <protection/>
    </xf>
    <xf numFmtId="0" fontId="3" fillId="41" borderId="12" xfId="57" applyFont="1" applyFill="1" applyBorder="1">
      <alignment/>
      <protection/>
    </xf>
    <xf numFmtId="0" fontId="3" fillId="41" borderId="10" xfId="57" applyFont="1" applyFill="1" applyBorder="1">
      <alignment/>
      <protection/>
    </xf>
    <xf numFmtId="0" fontId="10" fillId="34" borderId="11" xfId="57" applyFont="1" applyFill="1" applyBorder="1">
      <alignment/>
      <protection/>
    </xf>
    <xf numFmtId="0" fontId="9" fillId="41" borderId="11" xfId="57" applyFont="1" applyFill="1" applyBorder="1">
      <alignment/>
      <protection/>
    </xf>
    <xf numFmtId="0" fontId="19" fillId="0" borderId="0" xfId="57" applyFont="1">
      <alignment/>
      <protection/>
    </xf>
    <xf numFmtId="0" fontId="9" fillId="41" borderId="12" xfId="57" applyFont="1" applyFill="1" applyBorder="1">
      <alignment/>
      <protection/>
    </xf>
    <xf numFmtId="0" fontId="9" fillId="41" borderId="10" xfId="57" applyFont="1" applyFill="1" applyBorder="1">
      <alignment/>
      <protection/>
    </xf>
    <xf numFmtId="0" fontId="10" fillId="33" borderId="11" xfId="57" applyFont="1" applyFill="1" applyBorder="1">
      <alignment/>
      <protection/>
    </xf>
    <xf numFmtId="0" fontId="8" fillId="0" borderId="0" xfId="57" applyFont="1">
      <alignment/>
      <protection/>
    </xf>
    <xf numFmtId="0" fontId="20" fillId="0" borderId="0" xfId="0" applyFont="1" applyAlignment="1">
      <alignment horizontal="left" vertical="center" wrapText="1"/>
    </xf>
    <xf numFmtId="0" fontId="80" fillId="0" borderId="0" xfId="53" applyAlignment="1" applyProtection="1">
      <alignment horizontal="left" vertical="center" wrapText="1"/>
      <protection/>
    </xf>
    <xf numFmtId="0" fontId="17" fillId="34" borderId="11" xfId="57" applyFont="1" applyFill="1" applyBorder="1">
      <alignment/>
      <protection/>
    </xf>
    <xf numFmtId="0" fontId="17" fillId="33" borderId="11" xfId="57" applyFont="1" applyFill="1" applyBorder="1">
      <alignment/>
      <protection/>
    </xf>
    <xf numFmtId="0" fontId="16" fillId="38" borderId="11" xfId="57" applyFont="1" applyFill="1" applyBorder="1">
      <alignment/>
      <protection/>
    </xf>
    <xf numFmtId="0" fontId="21" fillId="0" borderId="0" xfId="0" applyFont="1" applyBorder="1" applyAlignment="1">
      <alignment horizontal="left" vertical="center" wrapText="1"/>
    </xf>
    <xf numFmtId="0" fontId="16" fillId="41" borderId="11" xfId="57" applyFont="1" applyFill="1" applyBorder="1">
      <alignment/>
      <protection/>
    </xf>
    <xf numFmtId="0" fontId="3" fillId="0" borderId="14" xfId="57" applyFont="1" applyBorder="1">
      <alignment/>
      <protection/>
    </xf>
    <xf numFmtId="0" fontId="2" fillId="42" borderId="0" xfId="57" applyFill="1">
      <alignment/>
      <protection/>
    </xf>
    <xf numFmtId="0" fontId="2" fillId="42" borderId="0" xfId="57" applyFont="1" applyFill="1">
      <alignment/>
      <protection/>
    </xf>
    <xf numFmtId="0" fontId="2" fillId="0" borderId="0" xfId="57" applyFont="1">
      <alignment/>
      <protection/>
    </xf>
    <xf numFmtId="0" fontId="11" fillId="0" borderId="0" xfId="57" applyFont="1">
      <alignment/>
      <protection/>
    </xf>
    <xf numFmtId="0" fontId="4" fillId="38" borderId="0" xfId="57" applyFont="1" applyFill="1" applyBorder="1">
      <alignment/>
      <protection/>
    </xf>
    <xf numFmtId="0" fontId="4" fillId="38" borderId="21" xfId="57" applyFont="1" applyFill="1" applyBorder="1">
      <alignment/>
      <protection/>
    </xf>
    <xf numFmtId="0" fontId="12" fillId="0" borderId="0" xfId="57" applyFont="1">
      <alignment/>
      <protection/>
    </xf>
    <xf numFmtId="0" fontId="4" fillId="38" borderId="11" xfId="57" applyFont="1" applyFill="1" applyBorder="1">
      <alignment/>
      <protection/>
    </xf>
    <xf numFmtId="0" fontId="4" fillId="38" borderId="10" xfId="57" applyFont="1" applyFill="1" applyBorder="1">
      <alignment/>
      <protection/>
    </xf>
    <xf numFmtId="0" fontId="9" fillId="0" borderId="0" xfId="57" applyFont="1">
      <alignment/>
      <protection/>
    </xf>
    <xf numFmtId="0" fontId="5" fillId="0" borderId="0" xfId="57" applyFont="1">
      <alignment/>
      <protection/>
    </xf>
    <xf numFmtId="0" fontId="5" fillId="0" borderId="0" xfId="57" applyFont="1" applyFill="1" applyBorder="1">
      <alignment/>
      <protection/>
    </xf>
    <xf numFmtId="0" fontId="5" fillId="0" borderId="12" xfId="57" applyFont="1" applyFill="1" applyBorder="1">
      <alignment/>
      <protection/>
    </xf>
    <xf numFmtId="0" fontId="4" fillId="0" borderId="0" xfId="57" applyFont="1" applyFill="1" applyBorder="1">
      <alignment/>
      <protection/>
    </xf>
    <xf numFmtId="0" fontId="4" fillId="0" borderId="12" xfId="57" applyFont="1" applyFill="1" applyBorder="1">
      <alignment/>
      <protection/>
    </xf>
    <xf numFmtId="0" fontId="3" fillId="40" borderId="11" xfId="57" applyFont="1" applyFill="1" applyBorder="1">
      <alignment/>
      <protection/>
    </xf>
    <xf numFmtId="0" fontId="3" fillId="40" borderId="10" xfId="57" applyFont="1" applyFill="1" applyBorder="1">
      <alignment/>
      <protection/>
    </xf>
    <xf numFmtId="0" fontId="3" fillId="39" borderId="11" xfId="57" applyFont="1" applyFill="1" applyBorder="1">
      <alignment/>
      <protection/>
    </xf>
    <xf numFmtId="0" fontId="3" fillId="39" borderId="10" xfId="57" applyFont="1" applyFill="1" applyBorder="1">
      <alignment/>
      <protection/>
    </xf>
    <xf numFmtId="0" fontId="9" fillId="37" borderId="0" xfId="57" applyFont="1" applyFill="1">
      <alignment/>
      <protection/>
    </xf>
    <xf numFmtId="0" fontId="3" fillId="35" borderId="0" xfId="57" applyFont="1" applyFill="1" applyBorder="1">
      <alignment/>
      <protection/>
    </xf>
    <xf numFmtId="0" fontId="3" fillId="35" borderId="12" xfId="57" applyFont="1" applyFill="1" applyBorder="1">
      <alignment/>
      <protection/>
    </xf>
    <xf numFmtId="0" fontId="2" fillId="0" borderId="19" xfId="57" applyBorder="1">
      <alignment/>
      <protection/>
    </xf>
    <xf numFmtId="0" fontId="9" fillId="0" borderId="0" xfId="57" applyFont="1" applyBorder="1">
      <alignment/>
      <protection/>
    </xf>
    <xf numFmtId="0" fontId="9" fillId="0" borderId="12" xfId="57" applyFont="1" applyBorder="1">
      <alignment/>
      <protection/>
    </xf>
    <xf numFmtId="0" fontId="15" fillId="0" borderId="0" xfId="57" applyFont="1" applyBorder="1">
      <alignment/>
      <protection/>
    </xf>
    <xf numFmtId="0" fontId="4" fillId="34" borderId="15" xfId="57" applyFont="1" applyFill="1" applyBorder="1">
      <alignment/>
      <protection/>
    </xf>
    <xf numFmtId="0" fontId="4" fillId="34" borderId="14" xfId="57" applyFont="1" applyFill="1" applyBorder="1">
      <alignment/>
      <protection/>
    </xf>
    <xf numFmtId="0" fontId="3" fillId="37" borderId="0" xfId="57" applyFont="1" applyFill="1" applyBorder="1">
      <alignment/>
      <protection/>
    </xf>
    <xf numFmtId="0" fontId="3" fillId="35" borderId="23" xfId="57" applyFont="1" applyFill="1" applyBorder="1" applyAlignment="1">
      <alignment wrapText="1"/>
      <protection/>
    </xf>
    <xf numFmtId="0" fontId="3" fillId="35" borderId="19" xfId="57" applyFont="1" applyFill="1" applyBorder="1">
      <alignment/>
      <protection/>
    </xf>
    <xf numFmtId="0" fontId="3" fillId="35" borderId="20" xfId="57" applyFont="1" applyFill="1" applyBorder="1">
      <alignment/>
      <protection/>
    </xf>
    <xf numFmtId="0" fontId="2" fillId="0" borderId="0" xfId="57" applyBorder="1">
      <alignment/>
      <protection/>
    </xf>
    <xf numFmtId="0" fontId="3" fillId="35" borderId="17" xfId="57" applyFont="1" applyFill="1" applyBorder="1" applyAlignment="1">
      <alignment wrapText="1"/>
      <protection/>
    </xf>
    <xf numFmtId="0" fontId="3" fillId="35" borderId="15" xfId="57" applyFont="1" applyFill="1" applyBorder="1">
      <alignment/>
      <protection/>
    </xf>
    <xf numFmtId="0" fontId="3" fillId="35" borderId="14" xfId="57" applyFont="1" applyFill="1" applyBorder="1">
      <alignment/>
      <protection/>
    </xf>
    <xf numFmtId="0" fontId="3" fillId="0" borderId="0" xfId="57" applyFont="1" applyFill="1" applyBorder="1">
      <alignment/>
      <protection/>
    </xf>
    <xf numFmtId="0" fontId="10" fillId="38" borderId="0" xfId="57" applyFont="1" applyFill="1" applyBorder="1">
      <alignment/>
      <protection/>
    </xf>
    <xf numFmtId="0" fontId="4" fillId="0" borderId="15" xfId="57" applyFont="1" applyBorder="1">
      <alignment/>
      <protection/>
    </xf>
    <xf numFmtId="0" fontId="5" fillId="0" borderId="20" xfId="57" applyFont="1" applyBorder="1">
      <alignment/>
      <protection/>
    </xf>
    <xf numFmtId="0" fontId="3" fillId="41" borderId="0" xfId="57" applyFont="1" applyFill="1" applyBorder="1">
      <alignment/>
      <protection/>
    </xf>
    <xf numFmtId="0" fontId="2" fillId="0" borderId="0" xfId="0" applyFont="1" applyAlignment="1">
      <alignment/>
    </xf>
    <xf numFmtId="0" fontId="3" fillId="38" borderId="0" xfId="58" applyFont="1" applyFill="1">
      <alignment/>
      <protection/>
    </xf>
    <xf numFmtId="0" fontId="2" fillId="0" borderId="0" xfId="58">
      <alignment/>
      <protection/>
    </xf>
    <xf numFmtId="0" fontId="4" fillId="38" borderId="12" xfId="58" applyFont="1" applyFill="1" applyBorder="1">
      <alignment/>
      <protection/>
    </xf>
    <xf numFmtId="0" fontId="4" fillId="38" borderId="21" xfId="58" applyFont="1" applyFill="1" applyBorder="1">
      <alignment/>
      <protection/>
    </xf>
    <xf numFmtId="0" fontId="23" fillId="38" borderId="0" xfId="58" applyFont="1" applyFill="1" applyBorder="1">
      <alignment/>
      <protection/>
    </xf>
    <xf numFmtId="0" fontId="23" fillId="38" borderId="21" xfId="58" applyFont="1" applyFill="1" applyBorder="1">
      <alignment/>
      <protection/>
    </xf>
    <xf numFmtId="0" fontId="10" fillId="38" borderId="21" xfId="58" applyFont="1" applyFill="1" applyBorder="1">
      <alignment/>
      <protection/>
    </xf>
    <xf numFmtId="0" fontId="10" fillId="38" borderId="0" xfId="58" applyFont="1" applyFill="1" applyBorder="1">
      <alignment/>
      <protection/>
    </xf>
    <xf numFmtId="0" fontId="4" fillId="38" borderId="0" xfId="58" applyFont="1" applyFill="1">
      <alignment/>
      <protection/>
    </xf>
    <xf numFmtId="0" fontId="10" fillId="38" borderId="0" xfId="58" applyFont="1" applyFill="1">
      <alignment/>
      <protection/>
    </xf>
    <xf numFmtId="0" fontId="10" fillId="38" borderId="12" xfId="58" applyFont="1" applyFill="1" applyBorder="1">
      <alignment/>
      <protection/>
    </xf>
    <xf numFmtId="0" fontId="4" fillId="38" borderId="16" xfId="58" applyFont="1" applyFill="1" applyBorder="1" applyAlignment="1">
      <alignment wrapText="1"/>
      <protection/>
    </xf>
    <xf numFmtId="0" fontId="4" fillId="38" borderId="0" xfId="58" applyFont="1" applyFill="1" applyBorder="1">
      <alignment/>
      <protection/>
    </xf>
    <xf numFmtId="0" fontId="4" fillId="0" borderId="16" xfId="58" applyFont="1" applyBorder="1" applyAlignment="1">
      <alignment wrapText="1"/>
      <protection/>
    </xf>
    <xf numFmtId="0" fontId="3" fillId="0" borderId="21" xfId="58" applyFont="1" applyBorder="1">
      <alignment/>
      <protection/>
    </xf>
    <xf numFmtId="0" fontId="3" fillId="0" borderId="0" xfId="58" applyFont="1" applyBorder="1">
      <alignment/>
      <protection/>
    </xf>
    <xf numFmtId="0" fontId="3" fillId="0" borderId="12" xfId="58" applyFont="1" applyBorder="1">
      <alignment/>
      <protection/>
    </xf>
    <xf numFmtId="0" fontId="4" fillId="0" borderId="0" xfId="58" applyFont="1">
      <alignment/>
      <protection/>
    </xf>
    <xf numFmtId="0" fontId="4" fillId="0" borderId="12" xfId="58" applyFont="1" applyBorder="1">
      <alignment/>
      <protection/>
    </xf>
    <xf numFmtId="0" fontId="3" fillId="0" borderId="16" xfId="58" applyFont="1" applyBorder="1" applyAlignment="1">
      <alignment wrapText="1"/>
      <protection/>
    </xf>
    <xf numFmtId="0" fontId="3" fillId="0" borderId="0" xfId="58" applyFont="1">
      <alignment/>
      <protection/>
    </xf>
    <xf numFmtId="0" fontId="4" fillId="0" borderId="21" xfId="58" applyFont="1" applyBorder="1">
      <alignment/>
      <protection/>
    </xf>
    <xf numFmtId="0" fontId="4" fillId="0" borderId="0" xfId="58" applyFont="1" applyBorder="1">
      <alignment/>
      <protection/>
    </xf>
    <xf numFmtId="0" fontId="4" fillId="39" borderId="13" xfId="58" applyFont="1" applyFill="1" applyBorder="1" applyAlignment="1">
      <alignment wrapText="1"/>
      <protection/>
    </xf>
    <xf numFmtId="0" fontId="4" fillId="39" borderId="22" xfId="58" applyFont="1" applyFill="1" applyBorder="1">
      <alignment/>
      <protection/>
    </xf>
    <xf numFmtId="0" fontId="4" fillId="39" borderId="11" xfId="58" applyFont="1" applyFill="1" applyBorder="1">
      <alignment/>
      <protection/>
    </xf>
    <xf numFmtId="0" fontId="4" fillId="39" borderId="10" xfId="58" applyFont="1" applyFill="1" applyBorder="1">
      <alignment/>
      <protection/>
    </xf>
    <xf numFmtId="0" fontId="4" fillId="36" borderId="13" xfId="58" applyFont="1" applyFill="1" applyBorder="1" applyAlignment="1">
      <alignment wrapText="1"/>
      <protection/>
    </xf>
    <xf numFmtId="0" fontId="3" fillId="36" borderId="22" xfId="58" applyFont="1" applyFill="1" applyBorder="1">
      <alignment/>
      <protection/>
    </xf>
    <xf numFmtId="0" fontId="3" fillId="36" borderId="11" xfId="58" applyFont="1" applyFill="1" applyBorder="1">
      <alignment/>
      <protection/>
    </xf>
    <xf numFmtId="0" fontId="3" fillId="36" borderId="10" xfId="58" applyFont="1" applyFill="1" applyBorder="1">
      <alignment/>
      <protection/>
    </xf>
    <xf numFmtId="0" fontId="4" fillId="36" borderId="11" xfId="58" applyFont="1" applyFill="1" applyBorder="1">
      <alignment/>
      <protection/>
    </xf>
    <xf numFmtId="0" fontId="4" fillId="36" borderId="10" xfId="58" applyFont="1" applyFill="1" applyBorder="1">
      <alignment/>
      <protection/>
    </xf>
    <xf numFmtId="0" fontId="5" fillId="0" borderId="17" xfId="58" applyFont="1" applyBorder="1" applyAlignment="1">
      <alignment wrapText="1"/>
      <protection/>
    </xf>
    <xf numFmtId="0" fontId="5" fillId="0" borderId="24" xfId="58" applyFont="1" applyBorder="1">
      <alignment/>
      <protection/>
    </xf>
    <xf numFmtId="0" fontId="5" fillId="0" borderId="15" xfId="58" applyFont="1" applyBorder="1">
      <alignment/>
      <protection/>
    </xf>
    <xf numFmtId="0" fontId="5" fillId="0" borderId="16" xfId="58" applyFont="1" applyBorder="1" applyAlignment="1">
      <alignment wrapText="1"/>
      <protection/>
    </xf>
    <xf numFmtId="0" fontId="5" fillId="0" borderId="21" xfId="58" applyFont="1" applyBorder="1">
      <alignment/>
      <protection/>
    </xf>
    <xf numFmtId="0" fontId="5" fillId="0" borderId="0" xfId="58" applyFont="1" applyBorder="1">
      <alignment/>
      <protection/>
    </xf>
    <xf numFmtId="0" fontId="5" fillId="0" borderId="12" xfId="58" applyFont="1" applyBorder="1">
      <alignment/>
      <protection/>
    </xf>
    <xf numFmtId="0" fontId="4" fillId="37" borderId="13" xfId="58" applyFont="1" applyFill="1" applyBorder="1" applyAlignment="1">
      <alignment wrapText="1"/>
      <protection/>
    </xf>
    <xf numFmtId="0" fontId="3" fillId="37" borderId="22" xfId="58" applyFont="1" applyFill="1" applyBorder="1">
      <alignment/>
      <protection/>
    </xf>
    <xf numFmtId="0" fontId="3" fillId="37" borderId="11" xfId="58" applyFont="1" applyFill="1" applyBorder="1">
      <alignment/>
      <protection/>
    </xf>
    <xf numFmtId="0" fontId="4" fillId="0" borderId="0" xfId="58" applyFont="1" applyFill="1" applyBorder="1">
      <alignment/>
      <protection/>
    </xf>
    <xf numFmtId="0" fontId="5" fillId="0" borderId="13" xfId="58" applyFont="1" applyBorder="1" applyAlignment="1">
      <alignment wrapText="1"/>
      <protection/>
    </xf>
    <xf numFmtId="0" fontId="4" fillId="35" borderId="13" xfId="58" applyFont="1" applyFill="1" applyBorder="1" applyAlignment="1">
      <alignment wrapText="1"/>
      <protection/>
    </xf>
    <xf numFmtId="0" fontId="3" fillId="35" borderId="22" xfId="58" applyFont="1" applyFill="1" applyBorder="1">
      <alignment/>
      <protection/>
    </xf>
    <xf numFmtId="0" fontId="3" fillId="35" borderId="11" xfId="58" applyFont="1" applyFill="1" applyBorder="1">
      <alignment/>
      <protection/>
    </xf>
    <xf numFmtId="0" fontId="4" fillId="40" borderId="13" xfId="58" applyFont="1" applyFill="1" applyBorder="1" applyAlignment="1">
      <alignment wrapText="1"/>
      <protection/>
    </xf>
    <xf numFmtId="0" fontId="3" fillId="40" borderId="22" xfId="58" applyFont="1" applyFill="1" applyBorder="1">
      <alignment/>
      <protection/>
    </xf>
    <xf numFmtId="0" fontId="3" fillId="40" borderId="11" xfId="58" applyFont="1" applyFill="1" applyBorder="1">
      <alignment/>
      <protection/>
    </xf>
    <xf numFmtId="0" fontId="3" fillId="40" borderId="10" xfId="58" applyFont="1" applyFill="1" applyBorder="1">
      <alignment/>
      <protection/>
    </xf>
    <xf numFmtId="0" fontId="4" fillId="40" borderId="11" xfId="58" applyFont="1" applyFill="1" applyBorder="1">
      <alignment/>
      <protection/>
    </xf>
    <xf numFmtId="0" fontId="4" fillId="40" borderId="10" xfId="58" applyFont="1" applyFill="1" applyBorder="1">
      <alignment/>
      <protection/>
    </xf>
    <xf numFmtId="0" fontId="3" fillId="0" borderId="16" xfId="58" applyFont="1" applyFill="1" applyBorder="1" applyAlignment="1">
      <alignment wrapText="1"/>
      <protection/>
    </xf>
    <xf numFmtId="0" fontId="3" fillId="38" borderId="12" xfId="58" applyFont="1" applyFill="1" applyBorder="1" applyAlignment="1">
      <alignment wrapText="1"/>
      <protection/>
    </xf>
    <xf numFmtId="0" fontId="3" fillId="0" borderId="21" xfId="58" applyFont="1" applyFill="1" applyBorder="1">
      <alignment/>
      <protection/>
    </xf>
    <xf numFmtId="0" fontId="3" fillId="0" borderId="0" xfId="58" applyFont="1" applyFill="1" applyBorder="1">
      <alignment/>
      <protection/>
    </xf>
    <xf numFmtId="0" fontId="3" fillId="0" borderId="12" xfId="58" applyFont="1" applyFill="1" applyBorder="1">
      <alignment/>
      <protection/>
    </xf>
    <xf numFmtId="0" fontId="3" fillId="38" borderId="0" xfId="58" applyFont="1" applyFill="1" applyBorder="1">
      <alignment/>
      <protection/>
    </xf>
    <xf numFmtId="0" fontId="3" fillId="38" borderId="12" xfId="58" applyFont="1" applyFill="1" applyBorder="1">
      <alignment/>
      <protection/>
    </xf>
    <xf numFmtId="0" fontId="2" fillId="0" borderId="0" xfId="58" applyFont="1">
      <alignment/>
      <protection/>
    </xf>
    <xf numFmtId="0" fontId="4" fillId="0" borderId="13" xfId="58" applyFont="1" applyFill="1" applyBorder="1" applyAlignment="1">
      <alignment wrapText="1"/>
      <protection/>
    </xf>
    <xf numFmtId="0" fontId="4" fillId="0" borderId="22" xfId="58" applyFont="1" applyFill="1" applyBorder="1">
      <alignment/>
      <protection/>
    </xf>
    <xf numFmtId="0" fontId="4" fillId="0" borderId="11" xfId="58" applyFont="1" applyFill="1" applyBorder="1">
      <alignment/>
      <protection/>
    </xf>
    <xf numFmtId="0" fontId="4" fillId="0" borderId="11" xfId="58" applyFont="1" applyBorder="1">
      <alignment/>
      <protection/>
    </xf>
    <xf numFmtId="0" fontId="4" fillId="0" borderId="10" xfId="58" applyFont="1" applyBorder="1">
      <alignment/>
      <protection/>
    </xf>
    <xf numFmtId="0" fontId="5" fillId="0" borderId="12" xfId="58" applyFont="1" applyBorder="1" applyAlignment="1">
      <alignment wrapText="1"/>
      <protection/>
    </xf>
    <xf numFmtId="0" fontId="5" fillId="0" borderId="21" xfId="58" applyFont="1" applyFill="1" applyBorder="1">
      <alignment/>
      <protection/>
    </xf>
    <xf numFmtId="0" fontId="5" fillId="0" borderId="0" xfId="58" applyFont="1" applyFill="1" applyBorder="1">
      <alignment/>
      <protection/>
    </xf>
    <xf numFmtId="0" fontId="5" fillId="0" borderId="0" xfId="58" applyFont="1">
      <alignment/>
      <protection/>
    </xf>
    <xf numFmtId="0" fontId="4" fillId="39" borderId="10" xfId="58" applyFont="1" applyFill="1" applyBorder="1" applyAlignment="1">
      <alignment wrapText="1"/>
      <protection/>
    </xf>
    <xf numFmtId="0" fontId="4" fillId="34" borderId="13" xfId="58" applyFont="1" applyFill="1" applyBorder="1" applyAlignment="1">
      <alignment wrapText="1"/>
      <protection/>
    </xf>
    <xf numFmtId="0" fontId="4" fillId="34" borderId="24" xfId="58" applyFont="1" applyFill="1" applyBorder="1">
      <alignment/>
      <protection/>
    </xf>
    <xf numFmtId="0" fontId="10" fillId="34" borderId="15" xfId="58" applyFont="1" applyFill="1" applyBorder="1">
      <alignment/>
      <protection/>
    </xf>
    <xf numFmtId="0" fontId="4" fillId="34" borderId="15" xfId="58" applyFont="1" applyFill="1" applyBorder="1">
      <alignment/>
      <protection/>
    </xf>
    <xf numFmtId="0" fontId="4" fillId="34" borderId="14" xfId="58" applyFont="1" applyFill="1" applyBorder="1">
      <alignment/>
      <protection/>
    </xf>
    <xf numFmtId="0" fontId="4" fillId="34" borderId="11" xfId="58" applyFont="1" applyFill="1" applyBorder="1">
      <alignment/>
      <protection/>
    </xf>
    <xf numFmtId="0" fontId="4" fillId="34" borderId="10" xfId="58" applyFont="1" applyFill="1" applyBorder="1">
      <alignment/>
      <protection/>
    </xf>
    <xf numFmtId="0" fontId="3" fillId="38" borderId="22" xfId="58" applyFont="1" applyFill="1" applyBorder="1">
      <alignment/>
      <protection/>
    </xf>
    <xf numFmtId="0" fontId="3" fillId="38" borderId="11" xfId="58" applyFont="1" applyFill="1" applyBorder="1">
      <alignment/>
      <protection/>
    </xf>
    <xf numFmtId="0" fontId="3" fillId="38" borderId="10" xfId="58" applyFont="1" applyFill="1" applyBorder="1">
      <alignment/>
      <protection/>
    </xf>
    <xf numFmtId="0" fontId="9" fillId="0" borderId="0" xfId="58" applyFont="1" applyBorder="1">
      <alignment/>
      <protection/>
    </xf>
    <xf numFmtId="0" fontId="9" fillId="0" borderId="12" xfId="58" applyFont="1" applyBorder="1">
      <alignment/>
      <protection/>
    </xf>
    <xf numFmtId="0" fontId="9" fillId="0" borderId="0" xfId="58" applyFont="1">
      <alignment/>
      <protection/>
    </xf>
    <xf numFmtId="0" fontId="3" fillId="38" borderId="13" xfId="58" applyFont="1" applyFill="1" applyBorder="1" applyAlignment="1">
      <alignment wrapText="1"/>
      <protection/>
    </xf>
    <xf numFmtId="0" fontId="10" fillId="38" borderId="11" xfId="58" applyFont="1" applyFill="1" applyBorder="1">
      <alignment/>
      <protection/>
    </xf>
    <xf numFmtId="0" fontId="3" fillId="37" borderId="16" xfId="58" applyFont="1" applyFill="1" applyBorder="1" applyAlignment="1">
      <alignment wrapText="1"/>
      <protection/>
    </xf>
    <xf numFmtId="0" fontId="10" fillId="37" borderId="11" xfId="58" applyFont="1" applyFill="1" applyBorder="1">
      <alignment/>
      <protection/>
    </xf>
    <xf numFmtId="0" fontId="10" fillId="37" borderId="10" xfId="58" applyFont="1" applyFill="1" applyBorder="1">
      <alignment/>
      <protection/>
    </xf>
    <xf numFmtId="0" fontId="9" fillId="37" borderId="0" xfId="58" applyFont="1" applyFill="1">
      <alignment/>
      <protection/>
    </xf>
    <xf numFmtId="0" fontId="10" fillId="37" borderId="0" xfId="58" applyFont="1" applyFill="1">
      <alignment/>
      <protection/>
    </xf>
    <xf numFmtId="0" fontId="3" fillId="37" borderId="0" xfId="58" applyFont="1" applyFill="1">
      <alignment/>
      <protection/>
    </xf>
    <xf numFmtId="0" fontId="3" fillId="37" borderId="12" xfId="58" applyFont="1" applyFill="1" applyBorder="1">
      <alignment/>
      <protection/>
    </xf>
    <xf numFmtId="0" fontId="3" fillId="36" borderId="13" xfId="58" applyFont="1" applyFill="1" applyBorder="1" applyAlignment="1">
      <alignment wrapText="1"/>
      <protection/>
    </xf>
    <xf numFmtId="0" fontId="3" fillId="35" borderId="13" xfId="58" applyFont="1" applyFill="1" applyBorder="1" applyAlignment="1">
      <alignment wrapText="1"/>
      <protection/>
    </xf>
    <xf numFmtId="0" fontId="3" fillId="35" borderId="24" xfId="58" applyFont="1" applyFill="1" applyBorder="1">
      <alignment/>
      <protection/>
    </xf>
    <xf numFmtId="0" fontId="3" fillId="35" borderId="15" xfId="58" applyFont="1" applyFill="1" applyBorder="1">
      <alignment/>
      <protection/>
    </xf>
    <xf numFmtId="0" fontId="3" fillId="35" borderId="14" xfId="58" applyFont="1" applyFill="1" applyBorder="1">
      <alignment/>
      <protection/>
    </xf>
    <xf numFmtId="0" fontId="9" fillId="35" borderId="11" xfId="58" applyFont="1" applyFill="1" applyBorder="1">
      <alignment/>
      <protection/>
    </xf>
    <xf numFmtId="0" fontId="9" fillId="35" borderId="10" xfId="58" applyFont="1" applyFill="1" applyBorder="1">
      <alignment/>
      <protection/>
    </xf>
    <xf numFmtId="0" fontId="3" fillId="35" borderId="10" xfId="58" applyFont="1" applyFill="1" applyBorder="1">
      <alignment/>
      <protection/>
    </xf>
    <xf numFmtId="0" fontId="3" fillId="0" borderId="15" xfId="58" applyFont="1" applyFill="1" applyBorder="1">
      <alignment/>
      <protection/>
    </xf>
    <xf numFmtId="0" fontId="4" fillId="34" borderId="22" xfId="58" applyFont="1" applyFill="1" applyBorder="1">
      <alignment/>
      <protection/>
    </xf>
    <xf numFmtId="0" fontId="10" fillId="34" borderId="11" xfId="58" applyFont="1" applyFill="1" applyBorder="1">
      <alignment/>
      <protection/>
    </xf>
    <xf numFmtId="0" fontId="3" fillId="0" borderId="17" xfId="58" applyFont="1" applyBorder="1" applyAlignment="1">
      <alignment wrapText="1"/>
      <protection/>
    </xf>
    <xf numFmtId="0" fontId="4" fillId="33" borderId="22" xfId="58" applyFont="1" applyFill="1" applyBorder="1" applyAlignment="1">
      <alignment wrapText="1"/>
      <protection/>
    </xf>
    <xf numFmtId="0" fontId="4" fillId="33" borderId="22" xfId="58" applyFont="1" applyFill="1" applyBorder="1">
      <alignment/>
      <protection/>
    </xf>
    <xf numFmtId="0" fontId="4" fillId="33" borderId="11" xfId="58" applyFont="1" applyFill="1" applyBorder="1">
      <alignment/>
      <protection/>
    </xf>
    <xf numFmtId="0" fontId="4" fillId="33" borderId="10" xfId="58" applyFont="1" applyFill="1" applyBorder="1">
      <alignment/>
      <protection/>
    </xf>
    <xf numFmtId="0" fontId="10" fillId="0" borderId="0" xfId="57" applyFont="1" applyFill="1" applyBorder="1">
      <alignment/>
      <protection/>
    </xf>
    <xf numFmtId="0" fontId="17" fillId="0" borderId="0" xfId="57" applyFont="1" applyBorder="1">
      <alignment/>
      <protection/>
    </xf>
    <xf numFmtId="0" fontId="16" fillId="36" borderId="11" xfId="57" applyFont="1" applyFill="1" applyBorder="1">
      <alignment/>
      <protection/>
    </xf>
    <xf numFmtId="0" fontId="10" fillId="38" borderId="20" xfId="58" applyFont="1" applyFill="1" applyBorder="1">
      <alignment/>
      <protection/>
    </xf>
    <xf numFmtId="0" fontId="2" fillId="0" borderId="0" xfId="58" applyBorder="1">
      <alignment/>
      <protection/>
    </xf>
    <xf numFmtId="0" fontId="2" fillId="0" borderId="19" xfId="58" applyBorder="1">
      <alignment/>
      <protection/>
    </xf>
    <xf numFmtId="0" fontId="9" fillId="37" borderId="11" xfId="58" applyFont="1" applyFill="1" applyBorder="1">
      <alignment/>
      <protection/>
    </xf>
    <xf numFmtId="0" fontId="9" fillId="0" borderId="0" xfId="58" applyFont="1" applyBorder="1">
      <alignment/>
      <protection/>
    </xf>
    <xf numFmtId="0" fontId="10" fillId="0" borderId="0" xfId="58" applyFont="1" applyFill="1" applyBorder="1">
      <alignment/>
      <protection/>
    </xf>
    <xf numFmtId="0" fontId="10" fillId="0" borderId="15" xfId="58" applyFont="1" applyBorder="1">
      <alignment/>
      <protection/>
    </xf>
    <xf numFmtId="0" fontId="24" fillId="0" borderId="0" xfId="57" applyFont="1">
      <alignment/>
      <protection/>
    </xf>
    <xf numFmtId="0" fontId="25" fillId="0" borderId="0" xfId="57" applyFont="1">
      <alignment/>
      <protection/>
    </xf>
    <xf numFmtId="0" fontId="26" fillId="0" borderId="0" xfId="57" applyFont="1">
      <alignment/>
      <protection/>
    </xf>
    <xf numFmtId="0" fontId="28" fillId="0" borderId="0" xfId="59" applyFont="1">
      <alignment/>
      <protection/>
    </xf>
    <xf numFmtId="0" fontId="30" fillId="0" borderId="25" xfId="59" applyFont="1" applyFill="1" applyBorder="1">
      <alignment/>
      <protection/>
    </xf>
    <xf numFmtId="0" fontId="30" fillId="0" borderId="26" xfId="59" applyFont="1" applyFill="1" applyBorder="1">
      <alignment/>
      <protection/>
    </xf>
    <xf numFmtId="0" fontId="30" fillId="0" borderId="27" xfId="59" applyFont="1" applyFill="1" applyBorder="1">
      <alignment/>
      <protection/>
    </xf>
    <xf numFmtId="0" fontId="31" fillId="0" borderId="10" xfId="59" applyFont="1" applyFill="1" applyBorder="1">
      <alignment/>
      <protection/>
    </xf>
    <xf numFmtId="0" fontId="31" fillId="0" borderId="28" xfId="59" applyFont="1" applyFill="1" applyBorder="1">
      <alignment/>
      <protection/>
    </xf>
    <xf numFmtId="0" fontId="28" fillId="0" borderId="0" xfId="59" applyFont="1" applyFill="1">
      <alignment/>
      <protection/>
    </xf>
    <xf numFmtId="0" fontId="27" fillId="0" borderId="29" xfId="59" applyFont="1" applyFill="1" applyBorder="1">
      <alignment/>
      <protection/>
    </xf>
    <xf numFmtId="0" fontId="29" fillId="0" borderId="30" xfId="59" applyFont="1" applyFill="1" applyBorder="1">
      <alignment/>
      <protection/>
    </xf>
    <xf numFmtId="0" fontId="28" fillId="0" borderId="31" xfId="59" applyFont="1" applyFill="1" applyBorder="1">
      <alignment/>
      <protection/>
    </xf>
    <xf numFmtId="0" fontId="28" fillId="0" borderId="32" xfId="59" applyFont="1" applyFill="1" applyBorder="1">
      <alignment/>
      <protection/>
    </xf>
    <xf numFmtId="0" fontId="28" fillId="0" borderId="33" xfId="59" applyFont="1" applyFill="1" applyBorder="1">
      <alignment/>
      <protection/>
    </xf>
    <xf numFmtId="0" fontId="3" fillId="38" borderId="12" xfId="57" applyFont="1" applyFill="1" applyBorder="1" applyAlignment="1">
      <alignment vertical="center"/>
      <protection/>
    </xf>
    <xf numFmtId="0" fontId="2" fillId="0" borderId="0" xfId="57" applyAlignment="1">
      <alignment vertical="center"/>
      <protection/>
    </xf>
    <xf numFmtId="0" fontId="4" fillId="38" borderId="12" xfId="57" applyFont="1" applyFill="1" applyBorder="1" applyAlignment="1">
      <alignment vertical="center"/>
      <protection/>
    </xf>
    <xf numFmtId="0" fontId="4" fillId="38" borderId="16" xfId="57" applyFont="1" applyFill="1" applyBorder="1" applyAlignment="1">
      <alignment vertical="center" wrapText="1"/>
      <protection/>
    </xf>
    <xf numFmtId="0" fontId="4" fillId="0" borderId="16" xfId="57" applyFont="1" applyBorder="1" applyAlignment="1">
      <alignment vertical="center" wrapText="1"/>
      <protection/>
    </xf>
    <xf numFmtId="0" fontId="4" fillId="0" borderId="0" xfId="57" applyFont="1" applyAlignment="1">
      <alignment horizontal="center" vertical="center"/>
      <protection/>
    </xf>
    <xf numFmtId="0" fontId="4" fillId="0" borderId="16" xfId="57" applyFont="1" applyBorder="1" applyAlignment="1">
      <alignment horizontal="center" vertical="center"/>
      <protection/>
    </xf>
    <xf numFmtId="0" fontId="3" fillId="0" borderId="16" xfId="57" applyFont="1" applyBorder="1" applyAlignment="1">
      <alignment vertical="center" wrapText="1"/>
      <protection/>
    </xf>
    <xf numFmtId="0" fontId="3" fillId="0" borderId="16" xfId="57" applyFont="1" applyBorder="1" applyAlignment="1" quotePrefix="1">
      <alignment horizontal="center" vertical="center"/>
      <protection/>
    </xf>
    <xf numFmtId="0" fontId="3" fillId="0" borderId="0" xfId="57" applyFont="1" applyAlignment="1">
      <alignment horizontal="center" vertical="center"/>
      <protection/>
    </xf>
    <xf numFmtId="0" fontId="3" fillId="0" borderId="16" xfId="57" applyFont="1" applyBorder="1" applyAlignment="1">
      <alignment horizontal="center" vertical="center"/>
      <protection/>
    </xf>
    <xf numFmtId="0" fontId="3" fillId="37" borderId="16" xfId="57" applyFont="1" applyFill="1" applyBorder="1" applyAlignment="1">
      <alignment vertical="center" wrapText="1"/>
      <protection/>
    </xf>
    <xf numFmtId="0" fontId="3" fillId="37" borderId="0" xfId="57" applyFont="1" applyFill="1" applyAlignment="1">
      <alignment horizontal="center" vertical="center"/>
      <protection/>
    </xf>
    <xf numFmtId="0" fontId="3" fillId="37" borderId="16" xfId="57" applyFont="1" applyFill="1" applyBorder="1" applyAlignment="1" quotePrefix="1">
      <alignment horizontal="center" vertical="center"/>
      <protection/>
    </xf>
    <xf numFmtId="0" fontId="4" fillId="0" borderId="16" xfId="57" applyFont="1" applyBorder="1" applyAlignment="1" quotePrefix="1">
      <alignment horizontal="center" vertical="center"/>
      <protection/>
    </xf>
    <xf numFmtId="0" fontId="4" fillId="39" borderId="13" xfId="57" applyFont="1" applyFill="1" applyBorder="1" applyAlignment="1">
      <alignment vertical="center" wrapText="1"/>
      <protection/>
    </xf>
    <xf numFmtId="0" fontId="17" fillId="39" borderId="11" xfId="57" applyFont="1" applyFill="1" applyBorder="1" applyAlignment="1">
      <alignment horizontal="center" vertical="center"/>
      <protection/>
    </xf>
    <xf numFmtId="0" fontId="17" fillId="39" borderId="13" xfId="57" applyFont="1" applyFill="1" applyBorder="1" applyAlignment="1" quotePrefix="1">
      <alignment horizontal="center" vertical="center"/>
      <protection/>
    </xf>
    <xf numFmtId="0" fontId="3" fillId="0" borderId="12" xfId="57" applyFont="1" applyBorder="1" applyAlignment="1">
      <alignment vertical="center"/>
      <protection/>
    </xf>
    <xf numFmtId="0" fontId="4" fillId="36" borderId="13" xfId="57" applyFont="1" applyFill="1" applyBorder="1" applyAlignment="1">
      <alignment vertical="center" wrapText="1"/>
      <protection/>
    </xf>
    <xf numFmtId="0" fontId="4" fillId="36" borderId="11" xfId="57" applyFont="1" applyFill="1" applyBorder="1" applyAlignment="1">
      <alignment horizontal="center" vertical="center"/>
      <protection/>
    </xf>
    <xf numFmtId="0" fontId="4" fillId="36" borderId="13" xfId="57" applyFont="1" applyFill="1" applyBorder="1" applyAlignment="1">
      <alignment horizontal="center" vertical="center"/>
      <protection/>
    </xf>
    <xf numFmtId="0" fontId="3" fillId="0" borderId="0" xfId="57" applyFont="1" applyBorder="1" applyAlignment="1">
      <alignment horizontal="center" vertical="center"/>
      <protection/>
    </xf>
    <xf numFmtId="0" fontId="4" fillId="0" borderId="0" xfId="57" applyFont="1" applyBorder="1" applyAlignment="1">
      <alignment horizontal="center" vertical="center"/>
      <protection/>
    </xf>
    <xf numFmtId="0" fontId="5" fillId="0" borderId="17" xfId="57" applyFont="1" applyBorder="1" applyAlignment="1">
      <alignment vertical="center" wrapText="1"/>
      <protection/>
    </xf>
    <xf numFmtId="0" fontId="5" fillId="0" borderId="11" xfId="57" applyFont="1" applyBorder="1" applyAlignment="1">
      <alignment horizontal="center" vertical="center"/>
      <protection/>
    </xf>
    <xf numFmtId="0" fontId="5" fillId="0" borderId="17" xfId="57" applyFont="1" applyBorder="1" applyAlignment="1" quotePrefix="1">
      <alignment horizontal="center" vertical="center"/>
      <protection/>
    </xf>
    <xf numFmtId="0" fontId="4" fillId="37" borderId="13" xfId="57" applyFont="1" applyFill="1" applyBorder="1" applyAlignment="1">
      <alignment vertical="center" wrapText="1"/>
      <protection/>
    </xf>
    <xf numFmtId="0" fontId="4" fillId="37" borderId="11" xfId="57" applyFont="1" applyFill="1" applyBorder="1" applyAlignment="1">
      <alignment horizontal="center" vertical="center"/>
      <protection/>
    </xf>
    <xf numFmtId="0" fontId="4" fillId="37" borderId="13" xfId="57" applyFont="1" applyFill="1" applyBorder="1" applyAlignment="1">
      <alignment horizontal="center" vertical="center"/>
      <protection/>
    </xf>
    <xf numFmtId="0" fontId="5" fillId="0" borderId="13" xfId="57" applyFont="1" applyBorder="1" applyAlignment="1">
      <alignment vertical="center" wrapText="1"/>
      <protection/>
    </xf>
    <xf numFmtId="0" fontId="4" fillId="35" borderId="13" xfId="57" applyFont="1" applyFill="1" applyBorder="1" applyAlignment="1">
      <alignment vertical="center" wrapText="1"/>
      <protection/>
    </xf>
    <xf numFmtId="0" fontId="4" fillId="35" borderId="11" xfId="57" applyFont="1" applyFill="1" applyBorder="1" applyAlignment="1">
      <alignment horizontal="center" vertical="center"/>
      <protection/>
    </xf>
    <xf numFmtId="0" fontId="4" fillId="35" borderId="13" xfId="57" applyFont="1" applyFill="1" applyBorder="1" applyAlignment="1">
      <alignment horizontal="center" vertical="center"/>
      <protection/>
    </xf>
    <xf numFmtId="0" fontId="5" fillId="0" borderId="13" xfId="57" applyFont="1" applyBorder="1" applyAlignment="1" quotePrefix="1">
      <alignment horizontal="center" vertical="center"/>
      <protection/>
    </xf>
    <xf numFmtId="0" fontId="5" fillId="0" borderId="16" xfId="57" applyFont="1" applyBorder="1" applyAlignment="1">
      <alignment vertical="center" wrapText="1"/>
      <protection/>
    </xf>
    <xf numFmtId="0" fontId="4" fillId="40" borderId="13" xfId="57" applyFont="1" applyFill="1" applyBorder="1" applyAlignment="1">
      <alignment vertical="center" wrapText="1"/>
      <protection/>
    </xf>
    <xf numFmtId="0" fontId="4" fillId="40" borderId="11" xfId="57" applyFont="1" applyFill="1" applyBorder="1" applyAlignment="1">
      <alignment horizontal="center" vertical="center"/>
      <protection/>
    </xf>
    <xf numFmtId="0" fontId="4" fillId="40" borderId="13" xfId="57" applyFont="1" applyFill="1" applyBorder="1" applyAlignment="1">
      <alignment horizontal="center" vertical="center"/>
      <protection/>
    </xf>
    <xf numFmtId="0" fontId="3" fillId="0" borderId="16" xfId="57" applyFont="1" applyFill="1" applyBorder="1" applyAlignment="1">
      <alignment vertical="center" wrapText="1"/>
      <protection/>
    </xf>
    <xf numFmtId="0" fontId="3" fillId="0" borderId="19" xfId="57" applyFont="1" applyBorder="1" applyAlignment="1">
      <alignment horizontal="center" vertical="center"/>
      <protection/>
    </xf>
    <xf numFmtId="0" fontId="3" fillId="0" borderId="23" xfId="57" applyFont="1" applyBorder="1" applyAlignment="1" quotePrefix="1">
      <alignment horizontal="center" vertical="center"/>
      <protection/>
    </xf>
    <xf numFmtId="0" fontId="3" fillId="38" borderId="12" xfId="57" applyFont="1" applyFill="1" applyBorder="1" applyAlignment="1">
      <alignment vertical="center" wrapText="1"/>
      <protection/>
    </xf>
    <xf numFmtId="0" fontId="3" fillId="38" borderId="0" xfId="57" applyFont="1" applyFill="1" applyBorder="1" applyAlignment="1">
      <alignment horizontal="center" vertical="center"/>
      <protection/>
    </xf>
    <xf numFmtId="0" fontId="3" fillId="38" borderId="16" xfId="57" applyFont="1" applyFill="1" applyBorder="1" applyAlignment="1" quotePrefix="1">
      <alignment horizontal="center" vertical="center"/>
      <protection/>
    </xf>
    <xf numFmtId="0" fontId="4" fillId="0" borderId="13" xfId="57" applyFont="1" applyFill="1" applyBorder="1" applyAlignment="1">
      <alignment vertical="center" wrapText="1"/>
      <protection/>
    </xf>
    <xf numFmtId="0" fontId="4" fillId="0" borderId="11" xfId="57" applyFont="1" applyBorder="1" applyAlignment="1">
      <alignment horizontal="center" vertical="center"/>
      <protection/>
    </xf>
    <xf numFmtId="0" fontId="4" fillId="0" borderId="13" xfId="57" applyFont="1" applyBorder="1" applyAlignment="1" quotePrefix="1">
      <alignment horizontal="center" vertical="center"/>
      <protection/>
    </xf>
    <xf numFmtId="0" fontId="5" fillId="0" borderId="12" xfId="57" applyFont="1" applyBorder="1" applyAlignment="1">
      <alignment vertical="center" wrapText="1"/>
      <protection/>
    </xf>
    <xf numFmtId="0" fontId="5" fillId="0" borderId="0" xfId="57" applyFont="1" applyBorder="1" applyAlignment="1">
      <alignment horizontal="center" vertical="center"/>
      <protection/>
    </xf>
    <xf numFmtId="0" fontId="5" fillId="0" borderId="16" xfId="57" applyFont="1" applyBorder="1" applyAlignment="1" quotePrefix="1">
      <alignment horizontal="center" vertical="center"/>
      <protection/>
    </xf>
    <xf numFmtId="0" fontId="4" fillId="39" borderId="10" xfId="57" applyFont="1" applyFill="1" applyBorder="1" applyAlignment="1">
      <alignment vertical="center" wrapText="1"/>
      <protection/>
    </xf>
    <xf numFmtId="0" fontId="4" fillId="39" borderId="11" xfId="57" applyFont="1" applyFill="1" applyBorder="1" applyAlignment="1">
      <alignment horizontal="center" vertical="center"/>
      <protection/>
    </xf>
    <xf numFmtId="0" fontId="4" fillId="39" borderId="13" xfId="57" applyFont="1" applyFill="1" applyBorder="1" applyAlignment="1" quotePrefix="1">
      <alignment horizontal="center" vertical="center"/>
      <protection/>
    </xf>
    <xf numFmtId="0" fontId="4" fillId="34" borderId="13" xfId="57" applyFont="1" applyFill="1" applyBorder="1" applyAlignment="1">
      <alignment vertical="center" wrapText="1"/>
      <protection/>
    </xf>
    <xf numFmtId="0" fontId="4" fillId="34" borderId="11" xfId="57" applyFont="1" applyFill="1" applyBorder="1" applyAlignment="1">
      <alignment horizontal="center" vertical="center"/>
      <protection/>
    </xf>
    <xf numFmtId="0" fontId="4" fillId="34" borderId="13" xfId="57" applyFont="1" applyFill="1" applyBorder="1" applyAlignment="1">
      <alignment horizontal="center" vertical="center"/>
      <protection/>
    </xf>
    <xf numFmtId="0" fontId="4" fillId="39" borderId="13" xfId="57" applyFont="1" applyFill="1" applyBorder="1" applyAlignment="1">
      <alignment horizontal="center" vertical="center"/>
      <protection/>
    </xf>
    <xf numFmtId="0" fontId="3" fillId="38" borderId="13" xfId="57" applyFont="1" applyFill="1" applyBorder="1" applyAlignment="1">
      <alignment vertical="center" wrapText="1"/>
      <protection/>
    </xf>
    <xf numFmtId="0" fontId="3" fillId="38" borderId="11" xfId="57" applyFont="1" applyFill="1" applyBorder="1" applyAlignment="1">
      <alignment horizontal="center" vertical="center"/>
      <protection/>
    </xf>
    <xf numFmtId="0" fontId="3" fillId="38" borderId="13" xfId="57" applyFont="1" applyFill="1" applyBorder="1" applyAlignment="1">
      <alignment horizontal="center" vertical="center"/>
      <protection/>
    </xf>
    <xf numFmtId="0" fontId="3" fillId="36" borderId="13" xfId="57" applyFont="1" applyFill="1" applyBorder="1" applyAlignment="1">
      <alignment vertical="center" wrapText="1"/>
      <protection/>
    </xf>
    <xf numFmtId="0" fontId="3" fillId="36" borderId="11" xfId="57" applyFont="1" applyFill="1" applyBorder="1" applyAlignment="1">
      <alignment horizontal="center" vertical="center"/>
      <protection/>
    </xf>
    <xf numFmtId="0" fontId="3" fillId="36" borderId="13" xfId="57" applyFont="1" applyFill="1" applyBorder="1" applyAlignment="1">
      <alignment horizontal="center" vertical="center"/>
      <protection/>
    </xf>
    <xf numFmtId="0" fontId="3" fillId="35" borderId="13" xfId="57" applyFont="1" applyFill="1" applyBorder="1" applyAlignment="1">
      <alignment vertical="center" wrapText="1"/>
      <protection/>
    </xf>
    <xf numFmtId="0" fontId="3" fillId="35" borderId="11" xfId="57" applyFont="1" applyFill="1" applyBorder="1" applyAlignment="1">
      <alignment horizontal="center" vertical="center"/>
      <protection/>
    </xf>
    <xf numFmtId="0" fontId="3" fillId="35" borderId="13" xfId="57" applyFont="1" applyFill="1" applyBorder="1" applyAlignment="1" quotePrefix="1">
      <alignment horizontal="center" vertical="center"/>
      <protection/>
    </xf>
    <xf numFmtId="0" fontId="3" fillId="35" borderId="13" xfId="57" applyFont="1" applyFill="1" applyBorder="1" applyAlignment="1">
      <alignment horizontal="center" vertical="center"/>
      <protection/>
    </xf>
    <xf numFmtId="0" fontId="3" fillId="0" borderId="11" xfId="57" applyFont="1" applyBorder="1" applyAlignment="1">
      <alignment horizontal="center" vertical="center"/>
      <protection/>
    </xf>
    <xf numFmtId="0" fontId="3" fillId="0" borderId="13" xfId="57" applyFont="1" applyBorder="1" applyAlignment="1" quotePrefix="1">
      <alignment horizontal="center" vertical="center"/>
      <protection/>
    </xf>
    <xf numFmtId="0" fontId="4" fillId="33" borderId="13" xfId="57" applyFont="1" applyFill="1" applyBorder="1" applyAlignment="1">
      <alignment vertical="center" wrapText="1"/>
      <protection/>
    </xf>
    <xf numFmtId="0" fontId="4" fillId="33" borderId="11" xfId="57" applyFont="1" applyFill="1" applyBorder="1" applyAlignment="1">
      <alignment horizontal="center" vertical="center"/>
      <protection/>
    </xf>
    <xf numFmtId="0" fontId="4" fillId="33" borderId="13" xfId="57" applyFont="1" applyFill="1" applyBorder="1" applyAlignment="1">
      <alignment horizontal="center" vertical="center"/>
      <protection/>
    </xf>
    <xf numFmtId="0" fontId="3" fillId="0" borderId="0" xfId="57" applyFont="1" applyAlignment="1">
      <alignment vertical="center"/>
      <protection/>
    </xf>
    <xf numFmtId="0" fontId="2" fillId="0" borderId="0" xfId="57" applyAlignment="1">
      <alignment horizontal="center" vertical="center"/>
      <protection/>
    </xf>
    <xf numFmtId="0" fontId="26" fillId="0" borderId="0" xfId="0" applyFont="1" applyAlignment="1">
      <alignment horizontal="left" vertical="center" wrapText="1"/>
    </xf>
    <xf numFmtId="0" fontId="33" fillId="0" borderId="0" xfId="57" applyFont="1" applyAlignment="1">
      <alignment vertical="center"/>
      <protection/>
    </xf>
    <xf numFmtId="0" fontId="34" fillId="0" borderId="0" xfId="57" applyFont="1" applyBorder="1" applyAlignment="1" quotePrefix="1">
      <alignment horizontal="left" vertical="center"/>
      <protection/>
    </xf>
    <xf numFmtId="0" fontId="34" fillId="37" borderId="0" xfId="57" applyFont="1" applyFill="1" applyBorder="1" applyAlignment="1" quotePrefix="1">
      <alignment horizontal="left" vertical="center"/>
      <protection/>
    </xf>
    <xf numFmtId="0" fontId="32" fillId="0" borderId="0" xfId="57" applyFont="1" applyBorder="1" applyAlignment="1" quotePrefix="1">
      <alignment horizontal="left" vertical="center"/>
      <protection/>
    </xf>
    <xf numFmtId="0" fontId="34" fillId="0" borderId="0" xfId="57" applyFont="1" applyBorder="1" applyAlignment="1">
      <alignment horizontal="left" vertical="center"/>
      <protection/>
    </xf>
    <xf numFmtId="0" fontId="35" fillId="39" borderId="0" xfId="57" applyFont="1" applyFill="1" applyBorder="1" applyAlignment="1" quotePrefix="1">
      <alignment horizontal="left" vertical="center"/>
      <protection/>
    </xf>
    <xf numFmtId="0" fontId="32" fillId="0" borderId="0" xfId="57" applyFont="1" applyBorder="1" applyAlignment="1">
      <alignment horizontal="left" vertical="center"/>
      <protection/>
    </xf>
    <xf numFmtId="0" fontId="36" fillId="0" borderId="0" xfId="57" applyFont="1" applyBorder="1" applyAlignment="1" quotePrefix="1">
      <alignment horizontal="left" vertical="center"/>
      <protection/>
    </xf>
    <xf numFmtId="0" fontId="32" fillId="37" borderId="0" xfId="57" applyFont="1" applyFill="1" applyBorder="1" applyAlignment="1">
      <alignment horizontal="left" vertical="center"/>
      <protection/>
    </xf>
    <xf numFmtId="0" fontId="32" fillId="35" borderId="0" xfId="57" applyFont="1" applyFill="1" applyBorder="1" applyAlignment="1">
      <alignment horizontal="left" vertical="center"/>
      <protection/>
    </xf>
    <xf numFmtId="0" fontId="32" fillId="40" borderId="0" xfId="57" applyFont="1" applyFill="1" applyBorder="1" applyAlignment="1">
      <alignment horizontal="left" vertical="center"/>
      <protection/>
    </xf>
    <xf numFmtId="0" fontId="34" fillId="38" borderId="0" xfId="57" applyFont="1" applyFill="1" applyBorder="1" applyAlignment="1" quotePrefix="1">
      <alignment horizontal="left" vertical="center"/>
      <protection/>
    </xf>
    <xf numFmtId="0" fontId="32" fillId="39" borderId="0" xfId="57" applyFont="1" applyFill="1" applyBorder="1" applyAlignment="1" quotePrefix="1">
      <alignment horizontal="left" vertical="center"/>
      <protection/>
    </xf>
    <xf numFmtId="0" fontId="32" fillId="34" borderId="0" xfId="57" applyFont="1" applyFill="1" applyBorder="1" applyAlignment="1">
      <alignment horizontal="left" vertical="center"/>
      <protection/>
    </xf>
    <xf numFmtId="0" fontId="26" fillId="0" borderId="11" xfId="0" applyFont="1" applyBorder="1" applyAlignment="1">
      <alignment horizontal="left" vertical="center" wrapText="1"/>
    </xf>
    <xf numFmtId="0" fontId="32" fillId="39" borderId="11" xfId="57" applyFont="1" applyFill="1" applyBorder="1" applyAlignment="1">
      <alignment horizontal="left" vertical="center"/>
      <protection/>
    </xf>
    <xf numFmtId="0" fontId="34" fillId="0" borderId="11" xfId="57" applyFont="1" applyBorder="1" applyAlignment="1">
      <alignment horizontal="left" vertical="center" wrapText="1"/>
      <protection/>
    </xf>
    <xf numFmtId="0" fontId="34" fillId="38" borderId="11" xfId="57" applyFont="1" applyFill="1" applyBorder="1" applyAlignment="1">
      <alignment horizontal="left" vertical="center" wrapText="1"/>
      <protection/>
    </xf>
    <xf numFmtId="0" fontId="34" fillId="36" borderId="11" xfId="57" applyFont="1" applyFill="1" applyBorder="1" applyAlignment="1">
      <alignment horizontal="left" vertical="center" wrapText="1"/>
      <protection/>
    </xf>
    <xf numFmtId="0" fontId="34" fillId="35" borderId="11" xfId="57" applyFont="1" applyFill="1" applyBorder="1" applyAlignment="1">
      <alignment horizontal="left" vertical="center" wrapText="1"/>
      <protection/>
    </xf>
    <xf numFmtId="0" fontId="32" fillId="33" borderId="0" xfId="57" applyFont="1" applyFill="1" applyBorder="1" applyAlignment="1">
      <alignment horizontal="left" vertical="center"/>
      <protection/>
    </xf>
    <xf numFmtId="0" fontId="33" fillId="0" borderId="0" xfId="57" applyFont="1" applyAlignment="1">
      <alignment horizontal="left" vertical="center"/>
      <protection/>
    </xf>
    <xf numFmtId="0" fontId="37" fillId="0" borderId="0" xfId="0" applyFont="1" applyAlignment="1">
      <alignment wrapText="1"/>
    </xf>
    <xf numFmtId="0" fontId="38" fillId="0" borderId="0" xfId="0" applyFont="1" applyAlignment="1">
      <alignment wrapText="1"/>
    </xf>
    <xf numFmtId="0" fontId="39" fillId="0" borderId="0" xfId="0" applyFont="1" applyAlignment="1">
      <alignment horizontal="left" wrapText="1" indent="4"/>
    </xf>
    <xf numFmtId="0" fontId="8" fillId="0" borderId="0" xfId="0" applyFont="1" applyAlignment="1">
      <alignment/>
    </xf>
    <xf numFmtId="0" fontId="3" fillId="37" borderId="16" xfId="57" applyFont="1" applyFill="1" applyBorder="1" applyAlignment="1">
      <alignment horizontal="center" vertical="center"/>
      <protection/>
    </xf>
    <xf numFmtId="0" fontId="34" fillId="37" borderId="11" xfId="57" applyFont="1" applyFill="1" applyBorder="1" applyAlignment="1">
      <alignment horizontal="left" vertical="center" wrapText="1"/>
      <protection/>
    </xf>
    <xf numFmtId="0" fontId="3" fillId="37" borderId="13" xfId="57" applyFont="1" applyFill="1" applyBorder="1" applyAlignment="1">
      <alignment vertical="center" wrapText="1"/>
      <protection/>
    </xf>
    <xf numFmtId="0" fontId="3" fillId="37" borderId="11" xfId="57" applyFont="1" applyFill="1" applyBorder="1" applyAlignment="1">
      <alignment horizontal="center" vertical="center"/>
      <protection/>
    </xf>
    <xf numFmtId="0" fontId="3" fillId="37" borderId="13" xfId="57" applyFont="1" applyFill="1" applyBorder="1" applyAlignment="1">
      <alignment horizontal="center" vertical="center"/>
      <protection/>
    </xf>
    <xf numFmtId="0" fontId="8" fillId="0" borderId="0" xfId="0" applyFont="1" applyAlignment="1">
      <alignment horizontal="left"/>
    </xf>
    <xf numFmtId="0" fontId="0" fillId="0" borderId="0" xfId="0" applyAlignment="1">
      <alignment horizontal="left"/>
    </xf>
    <xf numFmtId="0" fontId="47" fillId="0" borderId="0" xfId="0" applyFont="1" applyAlignment="1">
      <alignment/>
    </xf>
    <xf numFmtId="0" fontId="48" fillId="0" borderId="10" xfId="59" applyFont="1" applyFill="1" applyBorder="1">
      <alignment/>
      <protection/>
    </xf>
    <xf numFmtId="0" fontId="48" fillId="0" borderId="13" xfId="59" applyFont="1" applyFill="1" applyBorder="1">
      <alignment/>
      <protection/>
    </xf>
    <xf numFmtId="0" fontId="48" fillId="0" borderId="28" xfId="59" applyFont="1" applyFill="1" applyBorder="1">
      <alignment/>
      <protection/>
    </xf>
    <xf numFmtId="0" fontId="48" fillId="0" borderId="0" xfId="59" applyFont="1" applyFill="1" applyBorder="1">
      <alignment/>
      <protection/>
    </xf>
    <xf numFmtId="0" fontId="48" fillId="0" borderId="34" xfId="59" applyFont="1" applyFill="1" applyBorder="1">
      <alignment/>
      <protection/>
    </xf>
    <xf numFmtId="0" fontId="48" fillId="0" borderId="35" xfId="59" applyFont="1" applyFill="1" applyBorder="1">
      <alignment/>
      <protection/>
    </xf>
    <xf numFmtId="0" fontId="48" fillId="0" borderId="36" xfId="59" applyFont="1" applyFill="1" applyBorder="1">
      <alignment/>
      <protection/>
    </xf>
    <xf numFmtId="0" fontId="48" fillId="0" borderId="20" xfId="59" applyFont="1" applyFill="1" applyBorder="1">
      <alignment/>
      <protection/>
    </xf>
    <xf numFmtId="0" fontId="48" fillId="0" borderId="23" xfId="59" applyFont="1" applyFill="1" applyBorder="1">
      <alignment/>
      <protection/>
    </xf>
    <xf numFmtId="0" fontId="48" fillId="0" borderId="37" xfId="59" applyFont="1" applyFill="1" applyBorder="1">
      <alignment/>
      <protection/>
    </xf>
    <xf numFmtId="0" fontId="49" fillId="0" borderId="0" xfId="59" applyFont="1">
      <alignment/>
      <protection/>
    </xf>
    <xf numFmtId="0" fontId="16" fillId="37" borderId="0" xfId="57" applyFont="1" applyFill="1" applyBorder="1">
      <alignment/>
      <protection/>
    </xf>
    <xf numFmtId="0" fontId="10" fillId="34" borderId="11" xfId="57" applyFont="1" applyFill="1" applyBorder="1">
      <alignment/>
      <protection/>
    </xf>
    <xf numFmtId="0" fontId="28" fillId="0" borderId="0" xfId="57" applyFont="1" applyAlignment="1">
      <alignment vertical="center"/>
      <protection/>
    </xf>
    <xf numFmtId="0" fontId="42" fillId="0" borderId="0" xfId="57" applyFont="1" applyAlignment="1">
      <alignment vertical="center"/>
      <protection/>
    </xf>
    <xf numFmtId="0" fontId="30" fillId="0" borderId="0" xfId="57" applyFont="1" applyAlignment="1">
      <alignment vertical="center"/>
      <protection/>
    </xf>
    <xf numFmtId="0" fontId="27" fillId="43" borderId="0" xfId="57" applyFont="1" applyFill="1" applyAlignment="1">
      <alignment vertical="center" wrapText="1"/>
      <protection/>
    </xf>
    <xf numFmtId="0" fontId="27" fillId="43" borderId="0" xfId="57" applyFont="1" applyFill="1" applyAlignment="1">
      <alignment horizontal="center" vertical="center" wrapText="1"/>
      <protection/>
    </xf>
    <xf numFmtId="0" fontId="28" fillId="0" borderId="11" xfId="57" applyFont="1" applyFill="1" applyBorder="1" applyAlignment="1">
      <alignment vertical="center" wrapText="1"/>
      <protection/>
    </xf>
    <xf numFmtId="0" fontId="44" fillId="35" borderId="11" xfId="57" applyFont="1" applyFill="1" applyBorder="1" applyAlignment="1">
      <alignment horizontal="center" vertical="center" wrapText="1"/>
      <protection/>
    </xf>
    <xf numFmtId="0" fontId="44" fillId="0" borderId="11" xfId="57" applyFont="1" applyFill="1" applyBorder="1" applyAlignment="1">
      <alignment horizontal="center" vertical="center" wrapText="1"/>
      <protection/>
    </xf>
    <xf numFmtId="0" fontId="28" fillId="0" borderId="0" xfId="57" applyFont="1" applyAlignment="1">
      <alignment vertical="center" wrapText="1"/>
      <protection/>
    </xf>
    <xf numFmtId="0" fontId="28" fillId="35" borderId="0" xfId="57" applyFont="1" applyFill="1" applyAlignment="1">
      <alignment horizontal="center" vertical="center" wrapText="1"/>
      <protection/>
    </xf>
    <xf numFmtId="0" fontId="28" fillId="0" borderId="0" xfId="57" applyFont="1" applyAlignment="1">
      <alignment horizontal="center" vertical="center" wrapText="1"/>
      <protection/>
    </xf>
    <xf numFmtId="0" fontId="45" fillId="0" borderId="11" xfId="57" applyFont="1" applyFill="1" applyBorder="1" applyAlignment="1">
      <alignment vertical="center" wrapText="1"/>
      <protection/>
    </xf>
    <xf numFmtId="0" fontId="45" fillId="35" borderId="11" xfId="57" applyFont="1" applyFill="1" applyBorder="1" applyAlignment="1">
      <alignment horizontal="center" vertical="center" wrapText="1"/>
      <protection/>
    </xf>
    <xf numFmtId="0" fontId="45" fillId="0" borderId="11" xfId="57" applyFont="1" applyFill="1" applyBorder="1" applyAlignment="1">
      <alignment horizontal="center" vertical="center" wrapText="1"/>
      <protection/>
    </xf>
    <xf numFmtId="0" fontId="44" fillId="35" borderId="0" xfId="57" applyFont="1" applyFill="1" applyAlignment="1">
      <alignment horizontal="center" vertical="center" wrapText="1"/>
      <protection/>
    </xf>
    <xf numFmtId="0" fontId="45" fillId="0" borderId="0" xfId="57" applyFont="1" applyAlignment="1">
      <alignment horizontal="center" vertical="center" wrapText="1"/>
      <protection/>
    </xf>
    <xf numFmtId="0" fontId="30" fillId="0" borderId="11" xfId="57" applyFont="1" applyFill="1" applyBorder="1" applyAlignment="1">
      <alignment horizontal="center" vertical="center" wrapText="1"/>
      <protection/>
    </xf>
    <xf numFmtId="0" fontId="44" fillId="0" borderId="0" xfId="57" applyFont="1" applyAlignment="1">
      <alignment horizontal="center" vertical="center" wrapText="1"/>
      <protection/>
    </xf>
    <xf numFmtId="0" fontId="28" fillId="0" borderId="11" xfId="57" applyFont="1" applyBorder="1" applyAlignment="1">
      <alignment vertical="center" wrapText="1"/>
      <protection/>
    </xf>
    <xf numFmtId="0" fontId="44" fillId="0" borderId="11" xfId="57" applyFont="1" applyBorder="1" applyAlignment="1">
      <alignment horizontal="center" vertical="center" wrapText="1"/>
      <protection/>
    </xf>
    <xf numFmtId="0" fontId="45" fillId="35" borderId="0" xfId="57" applyFont="1" applyFill="1" applyAlignment="1">
      <alignment horizontal="center" vertical="center" wrapText="1"/>
      <protection/>
    </xf>
    <xf numFmtId="0" fontId="28" fillId="0" borderId="0" xfId="57" applyFont="1" applyFill="1" applyBorder="1" applyAlignment="1">
      <alignment vertical="center" wrapText="1"/>
      <protection/>
    </xf>
    <xf numFmtId="0" fontId="44" fillId="0" borderId="0" xfId="57" applyFont="1" applyFill="1" applyBorder="1" applyAlignment="1">
      <alignment horizontal="center" vertical="center" wrapText="1"/>
      <protection/>
    </xf>
    <xf numFmtId="0" fontId="45" fillId="0" borderId="0" xfId="57" applyFont="1" applyFill="1" applyBorder="1" applyAlignment="1">
      <alignment horizontal="center" vertical="center" wrapText="1"/>
      <protection/>
    </xf>
    <xf numFmtId="0" fontId="45" fillId="0" borderId="0" xfId="57" applyFont="1" applyAlignment="1">
      <alignment vertical="center" wrapText="1"/>
      <protection/>
    </xf>
    <xf numFmtId="0" fontId="45" fillId="0" borderId="0" xfId="57" applyFont="1" applyFill="1" applyAlignment="1">
      <alignment horizontal="center" vertical="center" wrapText="1"/>
      <protection/>
    </xf>
    <xf numFmtId="0" fontId="28" fillId="0" borderId="11" xfId="57" applyFont="1" applyFill="1" applyBorder="1" applyAlignment="1">
      <alignment horizontal="left" vertical="center" wrapText="1"/>
      <protection/>
    </xf>
    <xf numFmtId="0" fontId="28" fillId="0" borderId="0" xfId="57" applyFont="1" applyFill="1" applyBorder="1" applyAlignment="1">
      <alignment horizontal="left" vertical="center" wrapText="1"/>
      <protection/>
    </xf>
    <xf numFmtId="0" fontId="38" fillId="0" borderId="0" xfId="0" applyFont="1" applyAlignment="1">
      <alignment vertical="center" wrapText="1"/>
    </xf>
    <xf numFmtId="0" fontId="88" fillId="0" borderId="12" xfId="57" applyFont="1" applyBorder="1">
      <alignment/>
      <protection/>
    </xf>
    <xf numFmtId="0" fontId="89" fillId="0" borderId="12" xfId="57" applyFont="1" applyBorder="1">
      <alignment/>
      <protection/>
    </xf>
    <xf numFmtId="0" fontId="28" fillId="0" borderId="11" xfId="57" applyFont="1" applyFill="1" applyBorder="1" applyAlignment="1">
      <alignment horizontal="left" vertical="center" wrapText="1"/>
      <protection/>
    </xf>
    <xf numFmtId="0" fontId="40" fillId="44" borderId="0" xfId="57" applyFont="1" applyFill="1" applyAlignment="1">
      <alignment horizontal="center" vertical="center"/>
      <protection/>
    </xf>
    <xf numFmtId="0" fontId="41" fillId="0" borderId="0" xfId="57" applyFont="1" applyAlignment="1">
      <alignment horizontal="left" vertical="center" wrapText="1"/>
      <protection/>
    </xf>
    <xf numFmtId="0" fontId="28" fillId="0" borderId="0" xfId="57" applyFont="1" applyAlignment="1">
      <alignment horizontal="left" vertical="center" wrapText="1"/>
      <protection/>
    </xf>
    <xf numFmtId="0" fontId="4" fillId="38" borderId="23" xfId="57" applyFont="1" applyFill="1" applyBorder="1" applyAlignment="1">
      <alignment horizontal="center" vertical="center"/>
      <protection/>
    </xf>
    <xf numFmtId="0" fontId="4" fillId="38" borderId="16" xfId="57" applyFont="1" applyFill="1" applyBorder="1" applyAlignment="1">
      <alignment horizontal="center" vertical="center"/>
      <protection/>
    </xf>
    <xf numFmtId="0" fontId="4" fillId="38" borderId="18" xfId="57" applyFont="1" applyFill="1" applyBorder="1" applyAlignment="1">
      <alignment horizontal="center" vertical="center"/>
      <protection/>
    </xf>
    <xf numFmtId="0" fontId="4" fillId="38" borderId="21" xfId="57" applyFont="1" applyFill="1" applyBorder="1" applyAlignment="1">
      <alignment horizontal="center" vertical="center"/>
      <protection/>
    </xf>
    <xf numFmtId="0" fontId="32" fillId="38" borderId="0" xfId="57" applyFont="1" applyFill="1" applyBorder="1" applyAlignment="1">
      <alignment horizontal="left" vertical="center"/>
      <protection/>
    </xf>
    <xf numFmtId="0" fontId="2" fillId="42" borderId="0" xfId="57" applyFont="1" applyFill="1">
      <alignment/>
      <protection/>
    </xf>
    <xf numFmtId="0" fontId="22" fillId="45" borderId="0" xfId="57" applyFont="1" applyFill="1" applyAlignment="1">
      <alignment horizontal="center"/>
      <protection/>
    </xf>
    <xf numFmtId="0" fontId="2" fillId="42" borderId="0" xfId="57" applyFill="1">
      <alignment/>
      <protection/>
    </xf>
    <xf numFmtId="0" fontId="4" fillId="38" borderId="22" xfId="57" applyFont="1" applyFill="1" applyBorder="1" applyAlignment="1">
      <alignment horizontal="center" vertical="center"/>
      <protection/>
    </xf>
    <xf numFmtId="0" fontId="4" fillId="38" borderId="11" xfId="57" applyFont="1" applyFill="1" applyBorder="1" applyAlignment="1">
      <alignment horizontal="center" vertical="center"/>
      <protection/>
    </xf>
    <xf numFmtId="0" fontId="4" fillId="38" borderId="10" xfId="57" applyFont="1" applyFill="1" applyBorder="1" applyAlignment="1">
      <alignment horizontal="center" vertical="center"/>
      <protection/>
    </xf>
    <xf numFmtId="0" fontId="10" fillId="38" borderId="22" xfId="58" applyFont="1" applyFill="1" applyBorder="1" applyAlignment="1">
      <alignment horizontal="center" vertical="center"/>
      <protection/>
    </xf>
    <xf numFmtId="0" fontId="10" fillId="38" borderId="11" xfId="58" applyFont="1" applyFill="1" applyBorder="1" applyAlignment="1">
      <alignment horizontal="center" vertical="center"/>
      <protection/>
    </xf>
    <xf numFmtId="0" fontId="10" fillId="38" borderId="10" xfId="58" applyFont="1" applyFill="1" applyBorder="1" applyAlignment="1">
      <alignment horizontal="center" vertical="center"/>
      <protection/>
    </xf>
    <xf numFmtId="0" fontId="4" fillId="38" borderId="21" xfId="57" applyFont="1" applyFill="1" applyBorder="1" applyAlignment="1">
      <alignment horizontal="center"/>
      <protection/>
    </xf>
    <xf numFmtId="0" fontId="4" fillId="38" borderId="0" xfId="57" applyFont="1" applyFill="1" applyAlignment="1">
      <alignment horizontal="center"/>
      <protection/>
    </xf>
    <xf numFmtId="0" fontId="10" fillId="38" borderId="22" xfId="57" applyFont="1" applyFill="1" applyBorder="1" applyAlignment="1">
      <alignment horizontal="center" vertical="center"/>
      <protection/>
    </xf>
    <xf numFmtId="0" fontId="10" fillId="38" borderId="11" xfId="57" applyFont="1" applyFill="1" applyBorder="1" applyAlignment="1">
      <alignment horizontal="center" vertical="center"/>
      <protection/>
    </xf>
    <xf numFmtId="0" fontId="10" fillId="38" borderId="10" xfId="57"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ist of data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otu.org.nz/" TargetMode="External" /><Relationship Id="rId2" Type="http://schemas.openxmlformats.org/officeDocument/2006/relationships/hyperlink" Target="http://www.stats.govt.nz/datasets/govt-finance/local-authority-financial-statistics-by-council.htm" TargetMode="Externa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30"/>
  <sheetViews>
    <sheetView tabSelected="1" zoomScalePageLayoutView="0" workbookViewId="0" topLeftCell="A3">
      <selection activeCell="A3" sqref="A3"/>
    </sheetView>
  </sheetViews>
  <sheetFormatPr defaultColWidth="9.140625" defaultRowHeight="15"/>
  <cols>
    <col min="1" max="1" width="18.00390625" style="0" bestFit="1" customWidth="1"/>
  </cols>
  <sheetData>
    <row r="2" spans="1:2" ht="15">
      <c r="A2" s="423" t="s">
        <v>381</v>
      </c>
      <c r="B2" s="424" t="s">
        <v>374</v>
      </c>
    </row>
    <row r="3" spans="1:2" ht="15">
      <c r="A3" s="417" t="s">
        <v>338</v>
      </c>
      <c r="B3" t="s">
        <v>339</v>
      </c>
    </row>
    <row r="4" spans="1:2" ht="15">
      <c r="A4" s="417" t="s">
        <v>337</v>
      </c>
      <c r="B4" t="s">
        <v>375</v>
      </c>
    </row>
    <row r="5" spans="1:2" ht="15">
      <c r="A5" s="417" t="s">
        <v>340</v>
      </c>
      <c r="B5" t="s">
        <v>344</v>
      </c>
    </row>
    <row r="6" spans="1:2" ht="15">
      <c r="A6" s="417" t="s">
        <v>342</v>
      </c>
      <c r="B6" t="s">
        <v>341</v>
      </c>
    </row>
    <row r="7" ht="15">
      <c r="A7" s="417" t="s">
        <v>343</v>
      </c>
    </row>
    <row r="8" spans="1:2" ht="15">
      <c r="A8" s="417" t="s">
        <v>382</v>
      </c>
      <c r="B8" t="s">
        <v>383</v>
      </c>
    </row>
    <row r="12" ht="15">
      <c r="A12" s="417"/>
    </row>
    <row r="14" ht="15">
      <c r="A14" t="s">
        <v>397</v>
      </c>
    </row>
    <row r="16" ht="15">
      <c r="A16" t="s">
        <v>388</v>
      </c>
    </row>
    <row r="17" ht="15">
      <c r="B17" t="s">
        <v>389</v>
      </c>
    </row>
    <row r="19" ht="15">
      <c r="B19" t="s">
        <v>419</v>
      </c>
    </row>
    <row r="21" spans="1:2" ht="15">
      <c r="A21" t="s">
        <v>384</v>
      </c>
      <c r="B21" t="s">
        <v>385</v>
      </c>
    </row>
    <row r="23" spans="1:2" ht="15">
      <c r="A23" t="s">
        <v>386</v>
      </c>
      <c r="B23" t="s">
        <v>387</v>
      </c>
    </row>
    <row r="24" ht="15">
      <c r="B24" t="s">
        <v>394</v>
      </c>
    </row>
    <row r="25" ht="15">
      <c r="B25" t="s">
        <v>395</v>
      </c>
    </row>
    <row r="26" ht="15">
      <c r="B26" t="s">
        <v>398</v>
      </c>
    </row>
    <row r="28" spans="1:2" ht="15">
      <c r="A28" t="s">
        <v>390</v>
      </c>
      <c r="B28" t="s">
        <v>391</v>
      </c>
    </row>
    <row r="29" ht="15">
      <c r="B29" t="s">
        <v>392</v>
      </c>
    </row>
    <row r="30" ht="15">
      <c r="B30" t="s">
        <v>393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U76"/>
  <sheetViews>
    <sheetView zoomScale="70" zoomScaleNormal="70" zoomScalePageLayoutView="0" workbookViewId="0" topLeftCell="A1">
      <pane xSplit="1" ySplit="2" topLeftCell="B8" activePane="bottomRight" state="frozen"/>
      <selection pane="topLeft" activeCell="U35" sqref="U35"/>
      <selection pane="topRight" activeCell="U35" sqref="U35"/>
      <selection pane="bottomLeft" activeCell="U35" sqref="U35"/>
      <selection pane="bottomRight" activeCell="X19" sqref="X19"/>
    </sheetView>
  </sheetViews>
  <sheetFormatPr defaultColWidth="9.140625" defaultRowHeight="15"/>
  <cols>
    <col min="1" max="1" width="32.421875" style="201" customWidth="1"/>
    <col min="2" max="6" width="9.140625" style="182" customWidth="1"/>
    <col min="7" max="7" width="9.57421875" style="182" bestFit="1" customWidth="1"/>
    <col min="8" max="16" width="9.140625" style="182" customWidth="1"/>
    <col min="17" max="20" width="10.28125" style="182" bestFit="1" customWidth="1"/>
    <col min="21" max="16384" width="9.140625" style="182" customWidth="1"/>
  </cols>
  <sheetData>
    <row r="1" spans="1:20" ht="12.75">
      <c r="A1" s="181"/>
      <c r="B1" s="485" t="s">
        <v>238</v>
      </c>
      <c r="C1" s="486"/>
      <c r="D1" s="486"/>
      <c r="E1" s="486"/>
      <c r="F1" s="486"/>
      <c r="G1" s="486"/>
      <c r="H1" s="486"/>
      <c r="I1" s="486"/>
      <c r="J1" s="486"/>
      <c r="K1" s="486"/>
      <c r="L1" s="486"/>
      <c r="M1" s="486"/>
      <c r="N1" s="486"/>
      <c r="O1" s="486"/>
      <c r="P1" s="486"/>
      <c r="Q1" s="486"/>
      <c r="R1" s="486"/>
      <c r="S1" s="486"/>
      <c r="T1" s="487"/>
    </row>
    <row r="2" spans="1:20" ht="12.75">
      <c r="A2" s="183"/>
      <c r="B2" s="184">
        <v>1991</v>
      </c>
      <c r="C2" s="185">
        <v>1992</v>
      </c>
      <c r="D2" s="186">
        <v>1993</v>
      </c>
      <c r="E2" s="185">
        <v>1994</v>
      </c>
      <c r="F2" s="187">
        <v>1995</v>
      </c>
      <c r="G2" s="188">
        <v>1996</v>
      </c>
      <c r="H2" s="188">
        <v>1997</v>
      </c>
      <c r="I2" s="188">
        <v>1998</v>
      </c>
      <c r="J2" s="188">
        <v>1999</v>
      </c>
      <c r="K2" s="188">
        <v>2000</v>
      </c>
      <c r="L2" s="294">
        <v>2001</v>
      </c>
      <c r="M2" s="189">
        <v>2001</v>
      </c>
      <c r="N2" s="189">
        <v>2002</v>
      </c>
      <c r="O2" s="189">
        <v>2003</v>
      </c>
      <c r="P2" s="189">
        <v>2004</v>
      </c>
      <c r="Q2" s="190">
        <v>2005</v>
      </c>
      <c r="R2" s="190">
        <v>2006</v>
      </c>
      <c r="S2" s="190">
        <v>2007</v>
      </c>
      <c r="T2" s="191">
        <v>2008</v>
      </c>
    </row>
    <row r="3" spans="1:20" ht="12.75">
      <c r="A3" s="192" t="s">
        <v>32</v>
      </c>
      <c r="B3" s="184" t="s">
        <v>220</v>
      </c>
      <c r="C3" s="193" t="s">
        <v>220</v>
      </c>
      <c r="D3" s="184" t="s">
        <v>220</v>
      </c>
      <c r="E3" s="193" t="s">
        <v>220</v>
      </c>
      <c r="F3" s="184" t="s">
        <v>220</v>
      </c>
      <c r="G3" s="193" t="s">
        <v>220</v>
      </c>
      <c r="H3" s="193" t="s">
        <v>220</v>
      </c>
      <c r="I3" s="193" t="s">
        <v>220</v>
      </c>
      <c r="J3" s="193" t="s">
        <v>220</v>
      </c>
      <c r="K3" s="193" t="s">
        <v>220</v>
      </c>
      <c r="L3" s="183" t="s">
        <v>220</v>
      </c>
      <c r="M3" s="189" t="s">
        <v>220</v>
      </c>
      <c r="N3" s="189" t="s">
        <v>220</v>
      </c>
      <c r="O3" s="189" t="s">
        <v>220</v>
      </c>
      <c r="P3" s="189" t="s">
        <v>220</v>
      </c>
      <c r="Q3" s="189" t="s">
        <v>220</v>
      </c>
      <c r="R3" s="189" t="s">
        <v>220</v>
      </c>
      <c r="S3" s="189" t="s">
        <v>220</v>
      </c>
      <c r="T3" s="183" t="s">
        <v>220</v>
      </c>
    </row>
    <row r="4" spans="1:20" ht="12.75">
      <c r="A4" s="194" t="s">
        <v>30</v>
      </c>
      <c r="B4" s="195"/>
      <c r="C4" s="196"/>
      <c r="D4" s="196"/>
      <c r="E4" s="196"/>
      <c r="F4" s="196"/>
      <c r="G4" s="196"/>
      <c r="H4" s="196"/>
      <c r="I4" s="196"/>
      <c r="J4" s="196"/>
      <c r="K4" s="196"/>
      <c r="L4" s="197"/>
      <c r="M4" s="198"/>
      <c r="N4" s="198"/>
      <c r="O4" s="198"/>
      <c r="P4" s="198"/>
      <c r="Q4" s="198"/>
      <c r="R4" s="198"/>
      <c r="S4" s="198"/>
      <c r="T4" s="199"/>
    </row>
    <row r="5" spans="1:20" ht="12.75">
      <c r="A5" s="200" t="s">
        <v>29</v>
      </c>
      <c r="B5" s="195"/>
      <c r="C5" s="196"/>
      <c r="D5" s="196">
        <f aca="true" t="shared" si="0" ref="D5:L5">D15</f>
        <v>21865</v>
      </c>
      <c r="E5" s="196">
        <f t="shared" si="0"/>
        <v>22270</v>
      </c>
      <c r="F5" s="196">
        <f t="shared" si="0"/>
        <v>23448</v>
      </c>
      <c r="G5" s="196">
        <f t="shared" si="0"/>
        <v>24058</v>
      </c>
      <c r="H5" s="196">
        <f t="shared" si="0"/>
        <v>24718</v>
      </c>
      <c r="I5" s="196">
        <f t="shared" si="0"/>
        <v>25070</v>
      </c>
      <c r="J5" s="196">
        <f t="shared" si="0"/>
        <v>25263</v>
      </c>
      <c r="K5" s="196">
        <f t="shared" si="0"/>
        <v>26537</v>
      </c>
      <c r="L5" s="197">
        <f t="shared" si="0"/>
        <v>27693</v>
      </c>
      <c r="M5" s="201">
        <v>27693</v>
      </c>
      <c r="N5" s="201">
        <v>28340</v>
      </c>
      <c r="O5" s="201">
        <v>29584</v>
      </c>
      <c r="P5" s="201">
        <v>31655</v>
      </c>
      <c r="Q5" s="201">
        <v>33653</v>
      </c>
      <c r="R5" s="201">
        <v>35073</v>
      </c>
      <c r="S5" s="201">
        <v>37051</v>
      </c>
      <c r="T5" s="197">
        <v>38823</v>
      </c>
    </row>
    <row r="6" spans="1:20" ht="12.75">
      <c r="A6" s="200" t="s">
        <v>28</v>
      </c>
      <c r="B6" s="195"/>
      <c r="C6" s="196"/>
      <c r="D6" s="196"/>
      <c r="E6" s="196"/>
      <c r="F6" s="196"/>
      <c r="G6" s="196"/>
      <c r="H6" s="196"/>
      <c r="I6" s="196"/>
      <c r="J6" s="196"/>
      <c r="K6" s="196"/>
      <c r="L6" s="197"/>
      <c r="M6" s="201"/>
      <c r="N6" s="201"/>
      <c r="O6" s="201"/>
      <c r="P6" s="201"/>
      <c r="Q6" s="201"/>
      <c r="R6" s="201"/>
      <c r="S6" s="201"/>
      <c r="T6" s="197"/>
    </row>
    <row r="7" spans="1:20" ht="12.75">
      <c r="A7" s="200" t="s">
        <v>27</v>
      </c>
      <c r="B7" s="2">
        <f aca="true" t="shared" si="1" ref="B7:K7">B18</f>
        <v>0</v>
      </c>
      <c r="C7" s="2">
        <f t="shared" si="1"/>
        <v>0</v>
      </c>
      <c r="D7" s="2">
        <f t="shared" si="1"/>
        <v>0</v>
      </c>
      <c r="E7" s="2">
        <f t="shared" si="1"/>
        <v>0</v>
      </c>
      <c r="F7" s="2">
        <f t="shared" si="1"/>
        <v>0</v>
      </c>
      <c r="G7" s="2">
        <f t="shared" si="1"/>
        <v>0</v>
      </c>
      <c r="H7" s="2">
        <f t="shared" si="1"/>
        <v>0</v>
      </c>
      <c r="I7" s="2">
        <f t="shared" si="1"/>
        <v>0</v>
      </c>
      <c r="J7" s="2">
        <f t="shared" si="1"/>
        <v>0</v>
      </c>
      <c r="K7" s="2">
        <f t="shared" si="1"/>
        <v>0</v>
      </c>
      <c r="L7" s="5"/>
      <c r="M7" s="2">
        <f aca="true" t="shared" si="2" ref="M7:T7">M18</f>
        <v>0</v>
      </c>
      <c r="N7" s="2">
        <f t="shared" si="2"/>
        <v>0</v>
      </c>
      <c r="O7" s="2">
        <f t="shared" si="2"/>
        <v>0</v>
      </c>
      <c r="P7" s="2">
        <f t="shared" si="2"/>
        <v>0</v>
      </c>
      <c r="Q7" s="2">
        <f t="shared" si="2"/>
        <v>0</v>
      </c>
      <c r="R7" s="2">
        <f t="shared" si="2"/>
        <v>0</v>
      </c>
      <c r="S7" s="2">
        <f t="shared" si="2"/>
        <v>0</v>
      </c>
      <c r="T7" s="5">
        <f t="shared" si="2"/>
        <v>0</v>
      </c>
    </row>
    <row r="8" spans="1:20" ht="12.75">
      <c r="A8" s="200" t="s">
        <v>26</v>
      </c>
      <c r="B8" s="2">
        <f aca="true" t="shared" si="3" ref="B8:K8">B24</f>
        <v>0</v>
      </c>
      <c r="C8" s="2">
        <f t="shared" si="3"/>
        <v>0</v>
      </c>
      <c r="D8" s="2">
        <f t="shared" si="3"/>
        <v>0</v>
      </c>
      <c r="E8" s="2">
        <f t="shared" si="3"/>
        <v>0</v>
      </c>
      <c r="F8" s="2">
        <f t="shared" si="3"/>
        <v>0</v>
      </c>
      <c r="G8" s="2">
        <f t="shared" si="3"/>
        <v>0</v>
      </c>
      <c r="H8" s="2">
        <f t="shared" si="3"/>
        <v>0</v>
      </c>
      <c r="I8" s="2">
        <f t="shared" si="3"/>
        <v>0</v>
      </c>
      <c r="J8" s="2">
        <f t="shared" si="3"/>
        <v>0</v>
      </c>
      <c r="K8" s="2">
        <f t="shared" si="3"/>
        <v>0</v>
      </c>
      <c r="L8" s="5"/>
      <c r="M8" s="2">
        <f aca="true" t="shared" si="4" ref="M8:T8">M24</f>
        <v>0</v>
      </c>
      <c r="N8" s="2">
        <f t="shared" si="4"/>
        <v>0</v>
      </c>
      <c r="O8" s="2">
        <f t="shared" si="4"/>
        <v>0</v>
      </c>
      <c r="P8" s="2">
        <f t="shared" si="4"/>
        <v>0</v>
      </c>
      <c r="Q8" s="2">
        <f t="shared" si="4"/>
        <v>0</v>
      </c>
      <c r="R8" s="2">
        <f t="shared" si="4"/>
        <v>0</v>
      </c>
      <c r="S8" s="2">
        <f t="shared" si="4"/>
        <v>0</v>
      </c>
      <c r="T8" s="5">
        <f t="shared" si="4"/>
        <v>0</v>
      </c>
    </row>
    <row r="9" spans="1:20" s="1" customFormat="1" ht="12.75">
      <c r="A9" s="59" t="s">
        <v>35</v>
      </c>
      <c r="B9" s="78">
        <f aca="true" t="shared" si="5" ref="B9:K9">B36</f>
        <v>0</v>
      </c>
      <c r="C9" s="78">
        <f t="shared" si="5"/>
        <v>0</v>
      </c>
      <c r="D9" s="78">
        <f t="shared" si="5"/>
        <v>0</v>
      </c>
      <c r="E9" s="78">
        <f t="shared" si="5"/>
        <v>0</v>
      </c>
      <c r="F9" s="13">
        <f t="shared" si="5"/>
        <v>0</v>
      </c>
      <c r="G9" s="13">
        <f t="shared" si="5"/>
        <v>0</v>
      </c>
      <c r="H9" s="13">
        <f t="shared" si="5"/>
        <v>0</v>
      </c>
      <c r="I9" s="13">
        <f t="shared" si="5"/>
        <v>0</v>
      </c>
      <c r="J9" s="13">
        <f t="shared" si="5"/>
        <v>0</v>
      </c>
      <c r="K9" s="13">
        <f t="shared" si="5"/>
        <v>0</v>
      </c>
      <c r="L9" s="12"/>
      <c r="M9" s="13">
        <f aca="true" t="shared" si="6" ref="M9:T9">M36</f>
        <v>0</v>
      </c>
      <c r="N9" s="13">
        <f t="shared" si="6"/>
        <v>0</v>
      </c>
      <c r="O9" s="13">
        <f t="shared" si="6"/>
        <v>0</v>
      </c>
      <c r="P9" s="13">
        <f t="shared" si="6"/>
        <v>0</v>
      </c>
      <c r="Q9" s="13">
        <f t="shared" si="6"/>
        <v>0</v>
      </c>
      <c r="R9" s="13">
        <f t="shared" si="6"/>
        <v>0</v>
      </c>
      <c r="S9" s="13">
        <f t="shared" si="6"/>
        <v>0</v>
      </c>
      <c r="T9" s="12">
        <f t="shared" si="6"/>
        <v>0</v>
      </c>
    </row>
    <row r="10" spans="1:20" s="1" customFormat="1" ht="12.75">
      <c r="A10" s="59" t="s">
        <v>43</v>
      </c>
      <c r="B10" s="78">
        <f aca="true" t="shared" si="7" ref="B10:K10">B48</f>
        <v>0</v>
      </c>
      <c r="C10" s="78">
        <f t="shared" si="7"/>
        <v>0</v>
      </c>
      <c r="D10" s="78">
        <f t="shared" si="7"/>
        <v>0</v>
      </c>
      <c r="E10" s="78">
        <f t="shared" si="7"/>
        <v>0</v>
      </c>
      <c r="F10" s="13">
        <f t="shared" si="7"/>
        <v>0</v>
      </c>
      <c r="G10" s="13">
        <f t="shared" si="7"/>
        <v>0</v>
      </c>
      <c r="H10" s="13">
        <f t="shared" si="7"/>
        <v>0</v>
      </c>
      <c r="I10" s="13">
        <f t="shared" si="7"/>
        <v>0</v>
      </c>
      <c r="J10" s="13">
        <f t="shared" si="7"/>
        <v>0</v>
      </c>
      <c r="K10" s="13">
        <f t="shared" si="7"/>
        <v>0</v>
      </c>
      <c r="L10" s="12"/>
      <c r="M10" s="13">
        <f aca="true" t="shared" si="8" ref="M10:T10">M48</f>
        <v>0</v>
      </c>
      <c r="N10" s="13">
        <f t="shared" si="8"/>
        <v>0</v>
      </c>
      <c r="O10" s="13">
        <f t="shared" si="8"/>
        <v>0</v>
      </c>
      <c r="P10" s="13">
        <f t="shared" si="8"/>
        <v>0</v>
      </c>
      <c r="Q10" s="13">
        <f t="shared" si="8"/>
        <v>0</v>
      </c>
      <c r="R10" s="13">
        <f t="shared" si="8"/>
        <v>0</v>
      </c>
      <c r="S10" s="13">
        <f t="shared" si="8"/>
        <v>0</v>
      </c>
      <c r="T10" s="12">
        <f t="shared" si="8"/>
        <v>0</v>
      </c>
    </row>
    <row r="11" spans="1:20" s="1" customFormat="1" ht="12.75">
      <c r="A11" s="59" t="s">
        <v>44</v>
      </c>
      <c r="B11" s="78">
        <f aca="true" t="shared" si="9" ref="B11:K11">B42</f>
        <v>0</v>
      </c>
      <c r="C11" s="78">
        <f t="shared" si="9"/>
        <v>0</v>
      </c>
      <c r="D11" s="78">
        <f t="shared" si="9"/>
        <v>0</v>
      </c>
      <c r="E11" s="78">
        <f t="shared" si="9"/>
        <v>0</v>
      </c>
      <c r="F11" s="13">
        <f t="shared" si="9"/>
        <v>0</v>
      </c>
      <c r="G11" s="13">
        <f t="shared" si="9"/>
        <v>0</v>
      </c>
      <c r="H11" s="13">
        <f t="shared" si="9"/>
        <v>0</v>
      </c>
      <c r="I11" s="13">
        <f t="shared" si="9"/>
        <v>0</v>
      </c>
      <c r="J11" s="13">
        <f t="shared" si="9"/>
        <v>0</v>
      </c>
      <c r="K11" s="13">
        <f t="shared" si="9"/>
        <v>0</v>
      </c>
      <c r="L11" s="12"/>
      <c r="M11" s="13">
        <f aca="true" t="shared" si="10" ref="M11:T11">M42</f>
        <v>0</v>
      </c>
      <c r="N11" s="13">
        <f t="shared" si="10"/>
        <v>0</v>
      </c>
      <c r="O11" s="13">
        <f t="shared" si="10"/>
        <v>0</v>
      </c>
      <c r="P11" s="13">
        <f t="shared" si="10"/>
        <v>0</v>
      </c>
      <c r="Q11" s="13">
        <f t="shared" si="10"/>
        <v>0</v>
      </c>
      <c r="R11" s="13">
        <f t="shared" si="10"/>
        <v>0</v>
      </c>
      <c r="S11" s="13">
        <f t="shared" si="10"/>
        <v>0</v>
      </c>
      <c r="T11" s="12">
        <f t="shared" si="10"/>
        <v>0</v>
      </c>
    </row>
    <row r="12" spans="1:20" ht="12.75">
      <c r="A12" s="200" t="s">
        <v>25</v>
      </c>
      <c r="B12" s="2">
        <f aca="true" t="shared" si="11" ref="B12:K12">B30</f>
        <v>0</v>
      </c>
      <c r="C12" s="2">
        <f t="shared" si="11"/>
        <v>0</v>
      </c>
      <c r="D12" s="2">
        <f t="shared" si="11"/>
        <v>0</v>
      </c>
      <c r="E12" s="2">
        <f t="shared" si="11"/>
        <v>0</v>
      </c>
      <c r="F12" s="2">
        <f t="shared" si="11"/>
        <v>0</v>
      </c>
      <c r="G12" s="2">
        <f t="shared" si="11"/>
        <v>0</v>
      </c>
      <c r="H12" s="2">
        <f t="shared" si="11"/>
        <v>0</v>
      </c>
      <c r="I12" s="2">
        <f t="shared" si="11"/>
        <v>0</v>
      </c>
      <c r="J12" s="2">
        <f t="shared" si="11"/>
        <v>0</v>
      </c>
      <c r="K12" s="2">
        <f t="shared" si="11"/>
        <v>0</v>
      </c>
      <c r="L12" s="5"/>
      <c r="M12" s="2">
        <f aca="true" t="shared" si="12" ref="M12:T12">M30</f>
        <v>0</v>
      </c>
      <c r="N12" s="2">
        <f t="shared" si="12"/>
        <v>0</v>
      </c>
      <c r="O12" s="2">
        <f t="shared" si="12"/>
        <v>0</v>
      </c>
      <c r="P12" s="2">
        <f t="shared" si="12"/>
        <v>0</v>
      </c>
      <c r="Q12" s="2">
        <f t="shared" si="12"/>
        <v>0</v>
      </c>
      <c r="R12" s="2">
        <f t="shared" si="12"/>
        <v>0</v>
      </c>
      <c r="S12" s="2">
        <f t="shared" si="12"/>
        <v>0</v>
      </c>
      <c r="T12" s="5">
        <f t="shared" si="12"/>
        <v>0</v>
      </c>
    </row>
    <row r="13" spans="1:20" ht="12.75">
      <c r="A13" s="194" t="s">
        <v>24</v>
      </c>
      <c r="B13" s="202"/>
      <c r="C13" s="203"/>
      <c r="D13" s="203"/>
      <c r="E13" s="203"/>
      <c r="F13" s="203"/>
      <c r="G13" s="203"/>
      <c r="H13" s="203"/>
      <c r="I13" s="203"/>
      <c r="J13" s="203"/>
      <c r="K13" s="203"/>
      <c r="L13" s="199"/>
      <c r="M13" s="198"/>
      <c r="N13" s="198"/>
      <c r="O13" s="198"/>
      <c r="P13" s="198"/>
      <c r="Q13" s="198"/>
      <c r="R13" s="198"/>
      <c r="S13" s="198"/>
      <c r="T13" s="199"/>
    </row>
    <row r="14" spans="1:20" ht="12.75">
      <c r="A14" s="200" t="s">
        <v>23</v>
      </c>
      <c r="B14" s="195"/>
      <c r="C14" s="196"/>
      <c r="D14" s="196"/>
      <c r="E14" s="196"/>
      <c r="F14" s="203"/>
      <c r="G14" s="203"/>
      <c r="H14" s="203"/>
      <c r="I14" s="203"/>
      <c r="J14" s="203"/>
      <c r="K14" s="203"/>
      <c r="L14" s="199"/>
      <c r="M14" s="201"/>
      <c r="N14" s="201"/>
      <c r="O14" s="201"/>
      <c r="P14" s="201"/>
      <c r="Q14" s="201"/>
      <c r="R14" s="201"/>
      <c r="S14" s="201"/>
      <c r="T14" s="197"/>
    </row>
    <row r="15" spans="1:20" ht="12.75">
      <c r="A15" s="204" t="s">
        <v>22</v>
      </c>
      <c r="B15" s="205">
        <v>20990</v>
      </c>
      <c r="C15" s="206">
        <v>21258</v>
      </c>
      <c r="D15" s="206">
        <v>21865</v>
      </c>
      <c r="E15" s="206">
        <v>22270</v>
      </c>
      <c r="F15" s="206">
        <v>23448</v>
      </c>
      <c r="G15" s="206">
        <v>24058</v>
      </c>
      <c r="H15" s="206">
        <v>24718</v>
      </c>
      <c r="I15" s="206">
        <v>25070</v>
      </c>
      <c r="J15" s="206">
        <v>25263</v>
      </c>
      <c r="K15" s="206">
        <v>26537</v>
      </c>
      <c r="L15" s="207">
        <v>27693</v>
      </c>
      <c r="M15" s="206">
        <f>SUM(M5,M13:M14)</f>
        <v>27693</v>
      </c>
      <c r="N15" s="206">
        <f aca="true" t="shared" si="13" ref="N15:T15">SUM(N5,N13:N14)</f>
        <v>28340</v>
      </c>
      <c r="O15" s="206">
        <f t="shared" si="13"/>
        <v>29584</v>
      </c>
      <c r="P15" s="206">
        <f t="shared" si="13"/>
        <v>31655</v>
      </c>
      <c r="Q15" s="206">
        <f t="shared" si="13"/>
        <v>33653</v>
      </c>
      <c r="R15" s="206">
        <f t="shared" si="13"/>
        <v>35073</v>
      </c>
      <c r="S15" s="206">
        <f t="shared" si="13"/>
        <v>37051</v>
      </c>
      <c r="T15" s="207">
        <f t="shared" si="13"/>
        <v>38823</v>
      </c>
    </row>
    <row r="16" spans="1:20" ht="12.75">
      <c r="A16" s="197"/>
      <c r="B16" s="195"/>
      <c r="C16" s="196"/>
      <c r="D16" s="196"/>
      <c r="E16" s="196"/>
      <c r="F16" s="196"/>
      <c r="G16" s="196"/>
      <c r="H16" s="196"/>
      <c r="I16" s="196"/>
      <c r="J16" s="196"/>
      <c r="K16" s="196"/>
      <c r="L16" s="197"/>
      <c r="M16" s="198"/>
      <c r="N16" s="198"/>
      <c r="O16" s="198"/>
      <c r="P16" s="198"/>
      <c r="Q16" s="198"/>
      <c r="R16" s="198"/>
      <c r="S16" s="198"/>
      <c r="T16" s="199"/>
    </row>
    <row r="17" spans="1:20" ht="12.75">
      <c r="A17" s="208" t="s">
        <v>21</v>
      </c>
      <c r="B17" s="209"/>
      <c r="C17" s="210"/>
      <c r="D17" s="210"/>
      <c r="E17" s="210"/>
      <c r="F17" s="210"/>
      <c r="G17" s="210"/>
      <c r="H17" s="210"/>
      <c r="I17" s="210"/>
      <c r="J17" s="210"/>
      <c r="K17" s="210"/>
      <c r="L17" s="211"/>
      <c r="M17" s="212"/>
      <c r="N17" s="212"/>
      <c r="O17" s="212"/>
      <c r="P17" s="212"/>
      <c r="Q17" s="212"/>
      <c r="R17" s="212"/>
      <c r="S17" s="212"/>
      <c r="T17" s="213"/>
    </row>
    <row r="18" spans="1:20" ht="12.75">
      <c r="A18" s="200" t="s">
        <v>12</v>
      </c>
      <c r="B18" s="195"/>
      <c r="C18" s="196"/>
      <c r="D18" s="196"/>
      <c r="E18" s="196"/>
      <c r="F18" s="30"/>
      <c r="G18" s="30"/>
      <c r="H18" s="30"/>
      <c r="I18" s="30"/>
      <c r="J18" s="30"/>
      <c r="K18" s="30"/>
      <c r="L18" s="5"/>
      <c r="M18" s="30"/>
      <c r="N18" s="30"/>
      <c r="O18" s="30"/>
      <c r="P18" s="30"/>
      <c r="Q18" s="30"/>
      <c r="R18" s="30"/>
      <c r="S18" s="30"/>
      <c r="T18" s="5"/>
    </row>
    <row r="19" spans="1:20" ht="25.5">
      <c r="A19" s="200" t="s">
        <v>16</v>
      </c>
      <c r="B19" s="195"/>
      <c r="C19" s="196">
        <v>1348</v>
      </c>
      <c r="D19" s="196"/>
      <c r="E19" s="196">
        <v>903</v>
      </c>
      <c r="F19" s="30"/>
      <c r="G19" s="30"/>
      <c r="H19" s="30"/>
      <c r="I19" s="30"/>
      <c r="J19" s="30"/>
      <c r="K19" s="30"/>
      <c r="L19" s="5"/>
      <c r="M19" s="30"/>
      <c r="N19" s="30"/>
      <c r="O19" s="30"/>
      <c r="P19" s="30"/>
      <c r="Q19" s="30"/>
      <c r="R19" s="30"/>
      <c r="S19" s="30"/>
      <c r="T19" s="5"/>
    </row>
    <row r="20" spans="1:20" ht="25.5">
      <c r="A20" s="194" t="s">
        <v>20</v>
      </c>
      <c r="B20" s="203">
        <f>SUM(B18:B19)</f>
        <v>0</v>
      </c>
      <c r="C20" s="203">
        <f>SUM(C18:C19)</f>
        <v>1348</v>
      </c>
      <c r="D20" s="203">
        <f>SUM(D18:D19)</f>
        <v>0</v>
      </c>
      <c r="E20" s="203">
        <f>SUM(E18:E19)</f>
        <v>903</v>
      </c>
      <c r="F20" s="29">
        <f aca="true" t="shared" si="14" ref="F20:K20">SUM(F18:F19)</f>
        <v>0</v>
      </c>
      <c r="G20" s="29">
        <f t="shared" si="14"/>
        <v>0</v>
      </c>
      <c r="H20" s="29">
        <f t="shared" si="14"/>
        <v>0</v>
      </c>
      <c r="I20" s="29">
        <f t="shared" si="14"/>
        <v>0</v>
      </c>
      <c r="J20" s="29">
        <f t="shared" si="14"/>
        <v>0</v>
      </c>
      <c r="K20" s="29">
        <f t="shared" si="14"/>
        <v>0</v>
      </c>
      <c r="L20" s="28"/>
      <c r="M20" s="29">
        <f aca="true" t="shared" si="15" ref="M20:T20">SUM(M18:M19)</f>
        <v>0</v>
      </c>
      <c r="N20" s="29">
        <f t="shared" si="15"/>
        <v>0</v>
      </c>
      <c r="O20" s="29">
        <f t="shared" si="15"/>
        <v>0</v>
      </c>
      <c r="P20" s="29">
        <f t="shared" si="15"/>
        <v>0</v>
      </c>
      <c r="Q20" s="29">
        <f t="shared" si="15"/>
        <v>0</v>
      </c>
      <c r="R20" s="29">
        <f t="shared" si="15"/>
        <v>0</v>
      </c>
      <c r="S20" s="29">
        <f t="shared" si="15"/>
        <v>0</v>
      </c>
      <c r="T20" s="28">
        <f t="shared" si="15"/>
        <v>0</v>
      </c>
    </row>
    <row r="21" spans="1:20" ht="12.75">
      <c r="A21" s="214" t="s">
        <v>14</v>
      </c>
      <c r="B21" s="215"/>
      <c r="C21" s="216">
        <f>C20-C65</f>
        <v>-3773</v>
      </c>
      <c r="D21" s="216">
        <f>D20-D65</f>
        <v>0</v>
      </c>
      <c r="E21" s="216">
        <f>E20-E65</f>
        <v>-3720</v>
      </c>
      <c r="F21" s="27"/>
      <c r="G21" s="27"/>
      <c r="H21" s="27"/>
      <c r="I21" s="27"/>
      <c r="J21" s="27"/>
      <c r="K21" s="27"/>
      <c r="L21" s="26"/>
      <c r="M21" s="27"/>
      <c r="N21" s="27"/>
      <c r="O21" s="27"/>
      <c r="P21" s="27"/>
      <c r="Q21" s="27"/>
      <c r="R21" s="27"/>
      <c r="S21" s="27"/>
      <c r="T21" s="26"/>
    </row>
    <row r="22" spans="1:20" ht="12.75">
      <c r="A22" s="217"/>
      <c r="B22" s="218"/>
      <c r="C22" s="219"/>
      <c r="D22" s="219"/>
      <c r="E22" s="219"/>
      <c r="F22" s="42"/>
      <c r="G22" s="42"/>
      <c r="H22" s="42"/>
      <c r="I22" s="42"/>
      <c r="J22" s="42"/>
      <c r="K22" s="42"/>
      <c r="L22" s="28"/>
      <c r="M22" s="42"/>
      <c r="N22" s="42"/>
      <c r="O22" s="42"/>
      <c r="P22" s="42"/>
      <c r="Q22" s="42"/>
      <c r="R22" s="42"/>
      <c r="S22" s="42"/>
      <c r="T22" s="28"/>
    </row>
    <row r="23" spans="1:20" ht="12.75">
      <c r="A23" s="221" t="s">
        <v>19</v>
      </c>
      <c r="B23" s="222"/>
      <c r="C23" s="223"/>
      <c r="D23" s="223"/>
      <c r="E23" s="223"/>
      <c r="F23" s="37"/>
      <c r="G23" s="37"/>
      <c r="H23" s="37"/>
      <c r="I23" s="37"/>
      <c r="J23" s="37"/>
      <c r="K23" s="37"/>
      <c r="L23" s="36"/>
      <c r="M23" s="37"/>
      <c r="N23" s="37"/>
      <c r="O23" s="37"/>
      <c r="P23" s="37"/>
      <c r="Q23" s="37"/>
      <c r="R23" s="37"/>
      <c r="S23" s="37"/>
      <c r="T23" s="36"/>
    </row>
    <row r="24" spans="1:20" ht="12.75">
      <c r="A24" s="200" t="s">
        <v>12</v>
      </c>
      <c r="B24" s="202"/>
      <c r="C24" s="203"/>
      <c r="D24" s="203"/>
      <c r="E24" s="203"/>
      <c r="F24" s="30"/>
      <c r="G24" s="30"/>
      <c r="H24" s="30"/>
      <c r="I24" s="30"/>
      <c r="J24" s="30"/>
      <c r="K24" s="30"/>
      <c r="L24" s="5"/>
      <c r="M24" s="30"/>
      <c r="N24" s="30"/>
      <c r="O24" s="30"/>
      <c r="P24" s="30"/>
      <c r="Q24" s="30"/>
      <c r="R24" s="30"/>
      <c r="S24" s="30"/>
      <c r="T24" s="5"/>
    </row>
    <row r="25" spans="1:20" ht="25.5">
      <c r="A25" s="200" t="s">
        <v>16</v>
      </c>
      <c r="B25" s="195"/>
      <c r="C25" s="196">
        <v>73</v>
      </c>
      <c r="D25" s="298">
        <v>3228</v>
      </c>
      <c r="E25" s="196">
        <v>28</v>
      </c>
      <c r="F25" s="30"/>
      <c r="G25" s="30"/>
      <c r="H25" s="30"/>
      <c r="I25" s="30"/>
      <c r="J25" s="30"/>
      <c r="K25" s="30"/>
      <c r="L25" s="5"/>
      <c r="M25" s="30"/>
      <c r="N25" s="30"/>
      <c r="O25" s="30"/>
      <c r="P25" s="30"/>
      <c r="Q25" s="30"/>
      <c r="R25" s="30"/>
      <c r="S25" s="30"/>
      <c r="T25" s="5"/>
    </row>
    <row r="26" spans="1:20" ht="12.75">
      <c r="A26" s="194" t="s">
        <v>18</v>
      </c>
      <c r="B26" s="202"/>
      <c r="C26" s="224">
        <f>SUM(C25:C25)</f>
        <v>73</v>
      </c>
      <c r="D26" s="299">
        <f>SUM(D25:D25)</f>
        <v>3228</v>
      </c>
      <c r="E26" s="224">
        <f>SUM(E24:E25)</f>
        <v>28</v>
      </c>
      <c r="F26" s="29">
        <f aca="true" t="shared" si="16" ref="F26:K26">SUM(F24:F25)</f>
        <v>0</v>
      </c>
      <c r="G26" s="29">
        <f t="shared" si="16"/>
        <v>0</v>
      </c>
      <c r="H26" s="29">
        <f t="shared" si="16"/>
        <v>0</v>
      </c>
      <c r="I26" s="29">
        <f t="shared" si="16"/>
        <v>0</v>
      </c>
      <c r="J26" s="29">
        <f t="shared" si="16"/>
        <v>0</v>
      </c>
      <c r="K26" s="29">
        <f t="shared" si="16"/>
        <v>0</v>
      </c>
      <c r="L26" s="28"/>
      <c r="M26" s="29">
        <f aca="true" t="shared" si="17" ref="M26:T26">SUM(M24:M25)</f>
        <v>0</v>
      </c>
      <c r="N26" s="29">
        <f t="shared" si="17"/>
        <v>0</v>
      </c>
      <c r="O26" s="29">
        <f t="shared" si="17"/>
        <v>0</v>
      </c>
      <c r="P26" s="29">
        <f t="shared" si="17"/>
        <v>0</v>
      </c>
      <c r="Q26" s="29">
        <f t="shared" si="17"/>
        <v>0</v>
      </c>
      <c r="R26" s="29">
        <f t="shared" si="17"/>
        <v>0</v>
      </c>
      <c r="S26" s="29">
        <f t="shared" si="17"/>
        <v>0</v>
      </c>
      <c r="T26" s="28">
        <f t="shared" si="17"/>
        <v>0</v>
      </c>
    </row>
    <row r="27" spans="1:20" ht="12.75">
      <c r="A27" s="225" t="s">
        <v>14</v>
      </c>
      <c r="B27" s="215"/>
      <c r="C27" s="216">
        <f>C26-1228</f>
        <v>-1155</v>
      </c>
      <c r="D27" s="300">
        <f>D26-12094</f>
        <v>-8866</v>
      </c>
      <c r="E27" s="216">
        <f>E26-2204</f>
        <v>-2176</v>
      </c>
      <c r="F27" s="35"/>
      <c r="G27" s="35"/>
      <c r="H27" s="35"/>
      <c r="I27" s="35"/>
      <c r="J27" s="35"/>
      <c r="K27" s="35"/>
      <c r="L27" s="34"/>
      <c r="M27" s="35"/>
      <c r="N27" s="35"/>
      <c r="O27" s="35"/>
      <c r="P27" s="35"/>
      <c r="Q27" s="35"/>
      <c r="R27" s="35"/>
      <c r="S27" s="35"/>
      <c r="T27" s="34"/>
    </row>
    <row r="28" spans="1:20" ht="12.75">
      <c r="A28" s="217"/>
      <c r="B28" s="218"/>
      <c r="C28" s="219"/>
      <c r="D28" s="219"/>
      <c r="E28" s="219"/>
      <c r="F28" s="42"/>
      <c r="G28" s="42"/>
      <c r="H28" s="42"/>
      <c r="I28" s="42"/>
      <c r="J28" s="42"/>
      <c r="K28" s="42"/>
      <c r="L28" s="28"/>
      <c r="M28" s="42"/>
      <c r="N28" s="42"/>
      <c r="O28" s="42"/>
      <c r="P28" s="42"/>
      <c r="Q28" s="42"/>
      <c r="R28" s="42"/>
      <c r="S28" s="42"/>
      <c r="T28" s="28"/>
    </row>
    <row r="29" spans="1:20" ht="12.75">
      <c r="A29" s="226" t="s">
        <v>17</v>
      </c>
      <c r="B29" s="227"/>
      <c r="C29" s="228"/>
      <c r="D29" s="228"/>
      <c r="E29" s="228"/>
      <c r="F29" s="32"/>
      <c r="G29" s="32"/>
      <c r="H29" s="32"/>
      <c r="I29" s="32"/>
      <c r="J29" s="32"/>
      <c r="K29" s="32"/>
      <c r="L29" s="31"/>
      <c r="M29" s="32"/>
      <c r="N29" s="32"/>
      <c r="O29" s="32"/>
      <c r="P29" s="32"/>
      <c r="Q29" s="32"/>
      <c r="R29" s="32"/>
      <c r="S29" s="32"/>
      <c r="T29" s="31"/>
    </row>
    <row r="30" spans="1:20" ht="12.75">
      <c r="A30" s="200" t="s">
        <v>12</v>
      </c>
      <c r="B30" s="195"/>
      <c r="C30" s="196"/>
      <c r="D30" s="196"/>
      <c r="E30" s="196"/>
      <c r="F30" s="30"/>
      <c r="G30" s="30"/>
      <c r="H30" s="30"/>
      <c r="I30" s="30"/>
      <c r="J30" s="30"/>
      <c r="K30" s="30"/>
      <c r="L30" s="5"/>
      <c r="M30" s="30"/>
      <c r="N30" s="30"/>
      <c r="O30" s="30"/>
      <c r="P30" s="30"/>
      <c r="Q30" s="30"/>
      <c r="R30" s="30"/>
      <c r="S30" s="30"/>
      <c r="T30" s="5"/>
    </row>
    <row r="31" spans="1:20" ht="25.5">
      <c r="A31" s="200" t="s">
        <v>16</v>
      </c>
      <c r="B31" s="195"/>
      <c r="C31" s="196">
        <v>268</v>
      </c>
      <c r="D31" s="196"/>
      <c r="E31" s="196">
        <v>339</v>
      </c>
      <c r="F31" s="30"/>
      <c r="G31" s="30"/>
      <c r="H31" s="30"/>
      <c r="I31" s="30"/>
      <c r="J31" s="30"/>
      <c r="K31" s="30"/>
      <c r="L31" s="5"/>
      <c r="M31" s="30"/>
      <c r="N31" s="30"/>
      <c r="O31" s="30"/>
      <c r="P31" s="30"/>
      <c r="Q31" s="30"/>
      <c r="R31" s="30"/>
      <c r="S31" s="30"/>
      <c r="T31" s="5"/>
    </row>
    <row r="32" spans="1:20" ht="12.75">
      <c r="A32" s="194" t="s">
        <v>15</v>
      </c>
      <c r="B32" s="203">
        <f>SUM(B30:B31)</f>
        <v>0</v>
      </c>
      <c r="C32" s="203">
        <f>SUM(C30:C31)</f>
        <v>268</v>
      </c>
      <c r="D32" s="203">
        <f>SUM(D30:D31)</f>
        <v>0</v>
      </c>
      <c r="E32" s="203">
        <f>SUM(E30:E31)</f>
        <v>339</v>
      </c>
      <c r="F32" s="29">
        <f aca="true" t="shared" si="18" ref="F32:K32">SUM(F30:F31)</f>
        <v>0</v>
      </c>
      <c r="G32" s="29">
        <f t="shared" si="18"/>
        <v>0</v>
      </c>
      <c r="H32" s="29">
        <f t="shared" si="18"/>
        <v>0</v>
      </c>
      <c r="I32" s="29">
        <f t="shared" si="18"/>
        <v>0</v>
      </c>
      <c r="J32" s="29">
        <f t="shared" si="18"/>
        <v>0</v>
      </c>
      <c r="K32" s="29">
        <f t="shared" si="18"/>
        <v>0</v>
      </c>
      <c r="L32" s="28"/>
      <c r="M32" s="29">
        <f aca="true" t="shared" si="19" ref="M32:T32">SUM(M30:M31)</f>
        <v>0</v>
      </c>
      <c r="N32" s="29">
        <f t="shared" si="19"/>
        <v>0</v>
      </c>
      <c r="O32" s="29">
        <f t="shared" si="19"/>
        <v>0</v>
      </c>
      <c r="P32" s="29">
        <f t="shared" si="19"/>
        <v>0</v>
      </c>
      <c r="Q32" s="29">
        <f t="shared" si="19"/>
        <v>0</v>
      </c>
      <c r="R32" s="29">
        <f t="shared" si="19"/>
        <v>0</v>
      </c>
      <c r="S32" s="29">
        <f t="shared" si="19"/>
        <v>0</v>
      </c>
      <c r="T32" s="28">
        <f t="shared" si="19"/>
        <v>0</v>
      </c>
    </row>
    <row r="33" spans="1:20" ht="12.75">
      <c r="A33" s="214" t="s">
        <v>14</v>
      </c>
      <c r="B33" s="215"/>
      <c r="C33" s="216">
        <f>C32-1145</f>
        <v>-877</v>
      </c>
      <c r="D33" s="216"/>
      <c r="E33" s="216">
        <f>E32-1386</f>
        <v>-1047</v>
      </c>
      <c r="F33" s="27"/>
      <c r="G33" s="27"/>
      <c r="H33" s="27"/>
      <c r="I33" s="27"/>
      <c r="J33" s="27"/>
      <c r="K33" s="27"/>
      <c r="L33" s="26"/>
      <c r="M33" s="27"/>
      <c r="N33" s="27"/>
      <c r="O33" s="27"/>
      <c r="P33" s="27"/>
      <c r="Q33" s="27"/>
      <c r="R33" s="27"/>
      <c r="S33" s="27"/>
      <c r="T33" s="26"/>
    </row>
    <row r="34" spans="1:20" s="1" customFormat="1" ht="12.75">
      <c r="A34" s="5"/>
      <c r="B34" s="42"/>
      <c r="C34" s="42"/>
      <c r="D34" s="42"/>
      <c r="E34" s="42"/>
      <c r="F34" s="42"/>
      <c r="G34" s="42"/>
      <c r="H34" s="42"/>
      <c r="I34" s="42"/>
      <c r="J34" s="42"/>
      <c r="K34" s="42"/>
      <c r="L34" s="28"/>
      <c r="M34" s="42"/>
      <c r="N34" s="42"/>
      <c r="O34" s="42"/>
      <c r="P34" s="42"/>
      <c r="Q34" s="42"/>
      <c r="R34" s="42"/>
      <c r="S34" s="42"/>
      <c r="T34" s="28"/>
    </row>
    <row r="35" spans="1:20" s="1" customFormat="1" ht="12.75">
      <c r="A35" s="38" t="s">
        <v>34</v>
      </c>
      <c r="B35" s="37"/>
      <c r="C35" s="37"/>
      <c r="D35" s="37"/>
      <c r="E35" s="37"/>
      <c r="F35" s="37"/>
      <c r="G35" s="37"/>
      <c r="H35" s="37"/>
      <c r="I35" s="37"/>
      <c r="J35" s="37"/>
      <c r="K35" s="37"/>
      <c r="L35" s="36"/>
      <c r="M35" s="37"/>
      <c r="N35" s="37"/>
      <c r="O35" s="37"/>
      <c r="P35" s="37"/>
      <c r="Q35" s="37"/>
      <c r="R35" s="37"/>
      <c r="S35" s="37"/>
      <c r="T35" s="36"/>
    </row>
    <row r="36" spans="1:20" s="1" customFormat="1" ht="12.75">
      <c r="A36" s="47" t="s">
        <v>12</v>
      </c>
      <c r="B36" s="30"/>
      <c r="C36" s="30"/>
      <c r="D36" s="30"/>
      <c r="E36" s="30"/>
      <c r="F36" s="30"/>
      <c r="G36" s="30"/>
      <c r="H36" s="30"/>
      <c r="I36" s="30"/>
      <c r="J36" s="30"/>
      <c r="K36" s="30"/>
      <c r="L36" s="5"/>
      <c r="M36" s="30"/>
      <c r="N36" s="30"/>
      <c r="O36" s="30"/>
      <c r="P36" s="30"/>
      <c r="Q36" s="30"/>
      <c r="R36" s="30"/>
      <c r="S36" s="30"/>
      <c r="T36" s="5"/>
    </row>
    <row r="37" spans="1:20" s="1" customFormat="1" ht="25.5">
      <c r="A37" s="47" t="s">
        <v>16</v>
      </c>
      <c r="B37" s="30"/>
      <c r="C37" s="30"/>
      <c r="D37" s="30">
        <v>103</v>
      </c>
      <c r="E37" s="30">
        <f>124</f>
        <v>124</v>
      </c>
      <c r="F37" s="30">
        <v>257</v>
      </c>
      <c r="G37" s="30">
        <f>119</f>
        <v>119</v>
      </c>
      <c r="H37" s="30">
        <f>177</f>
        <v>177</v>
      </c>
      <c r="I37" s="30">
        <v>131</v>
      </c>
      <c r="J37" s="30">
        <v>105</v>
      </c>
      <c r="K37" s="30"/>
      <c r="L37" s="5"/>
      <c r="M37" s="30"/>
      <c r="N37" s="30">
        <v>88</v>
      </c>
      <c r="O37" s="30">
        <v>117</v>
      </c>
      <c r="P37" s="30">
        <v>117</v>
      </c>
      <c r="Q37" s="30"/>
      <c r="R37" s="30"/>
      <c r="S37" s="30"/>
      <c r="T37" s="5"/>
    </row>
    <row r="38" spans="1:20" s="1" customFormat="1" ht="12.75">
      <c r="A38" s="46" t="s">
        <v>18</v>
      </c>
      <c r="B38" s="29">
        <f aca="true" t="shared" si="20" ref="B38:K38">SUM(B36:B37)</f>
        <v>0</v>
      </c>
      <c r="C38" s="29">
        <f t="shared" si="20"/>
        <v>0</v>
      </c>
      <c r="D38" s="29">
        <f t="shared" si="20"/>
        <v>103</v>
      </c>
      <c r="E38" s="29">
        <f t="shared" si="20"/>
        <v>124</v>
      </c>
      <c r="F38" s="29">
        <f t="shared" si="20"/>
        <v>257</v>
      </c>
      <c r="G38" s="29">
        <f t="shared" si="20"/>
        <v>119</v>
      </c>
      <c r="H38" s="29">
        <f t="shared" si="20"/>
        <v>177</v>
      </c>
      <c r="I38" s="29">
        <f t="shared" si="20"/>
        <v>131</v>
      </c>
      <c r="J38" s="29">
        <f t="shared" si="20"/>
        <v>105</v>
      </c>
      <c r="K38" s="29">
        <f t="shared" si="20"/>
        <v>0</v>
      </c>
      <c r="L38" s="28"/>
      <c r="M38" s="29">
        <f aca="true" t="shared" si="21" ref="M38:T38">SUM(M36:M37)</f>
        <v>0</v>
      </c>
      <c r="N38" s="29">
        <f t="shared" si="21"/>
        <v>88</v>
      </c>
      <c r="O38" s="29">
        <f t="shared" si="21"/>
        <v>117</v>
      </c>
      <c r="P38" s="29">
        <f t="shared" si="21"/>
        <v>117</v>
      </c>
      <c r="Q38" s="29">
        <f t="shared" si="21"/>
        <v>0</v>
      </c>
      <c r="R38" s="29">
        <f t="shared" si="21"/>
        <v>0</v>
      </c>
      <c r="S38" s="29">
        <f t="shared" si="21"/>
        <v>0</v>
      </c>
      <c r="T38" s="28">
        <f t="shared" si="21"/>
        <v>0</v>
      </c>
    </row>
    <row r="39" spans="1:20" s="1" customFormat="1" ht="12.75">
      <c r="A39" s="51" t="s">
        <v>14</v>
      </c>
      <c r="B39" s="35">
        <f aca="true" t="shared" si="22" ref="B39:K39">B38-B66</f>
        <v>-647</v>
      </c>
      <c r="C39" s="35">
        <f t="shared" si="22"/>
        <v>0</v>
      </c>
      <c r="D39" s="35">
        <f t="shared" si="22"/>
        <v>-1280</v>
      </c>
      <c r="E39" s="35">
        <f t="shared" si="22"/>
        <v>-1130</v>
      </c>
      <c r="F39" s="35">
        <f t="shared" si="22"/>
        <v>-972</v>
      </c>
      <c r="G39" s="35">
        <f t="shared" si="22"/>
        <v>-1514</v>
      </c>
      <c r="H39" s="35">
        <f t="shared" si="22"/>
        <v>-1319</v>
      </c>
      <c r="I39" s="35">
        <f t="shared" si="22"/>
        <v>-1335</v>
      </c>
      <c r="J39" s="35">
        <f t="shared" si="22"/>
        <v>-977</v>
      </c>
      <c r="K39" s="35">
        <f t="shared" si="22"/>
        <v>0</v>
      </c>
      <c r="L39" s="34"/>
      <c r="M39" s="35">
        <f aca="true" t="shared" si="23" ref="M39:T39">M38-M66</f>
        <v>0</v>
      </c>
      <c r="N39" s="35">
        <f t="shared" si="23"/>
        <v>-1146</v>
      </c>
      <c r="O39" s="35">
        <f t="shared" si="23"/>
        <v>-1353</v>
      </c>
      <c r="P39" s="35">
        <f t="shared" si="23"/>
        <v>-1270</v>
      </c>
      <c r="Q39" s="35">
        <f t="shared" si="23"/>
        <v>0</v>
      </c>
      <c r="R39" s="35">
        <f t="shared" si="23"/>
        <v>0</v>
      </c>
      <c r="S39" s="35">
        <f t="shared" si="23"/>
        <v>0</v>
      </c>
      <c r="T39" s="34">
        <f t="shared" si="23"/>
        <v>0</v>
      </c>
    </row>
    <row r="40" spans="1:20" s="1" customFormat="1" ht="12.75">
      <c r="A40" s="50"/>
      <c r="B40" s="2"/>
      <c r="C40" s="2"/>
      <c r="D40" s="2"/>
      <c r="E40" s="2"/>
      <c r="F40" s="2"/>
      <c r="G40" s="2"/>
      <c r="H40" s="2"/>
      <c r="I40" s="2"/>
      <c r="J40" s="2"/>
      <c r="K40" s="2"/>
      <c r="L40" s="5"/>
      <c r="M40" s="2"/>
      <c r="N40" s="2"/>
      <c r="O40" s="2"/>
      <c r="P40" s="2"/>
      <c r="Q40" s="2"/>
      <c r="R40" s="2"/>
      <c r="S40" s="2"/>
      <c r="T40" s="5"/>
    </row>
    <row r="41" spans="1:20" s="1" customFormat="1" ht="12.75">
      <c r="A41" s="38" t="s">
        <v>46</v>
      </c>
      <c r="B41" s="37"/>
      <c r="C41" s="37"/>
      <c r="D41" s="37"/>
      <c r="E41" s="37"/>
      <c r="F41" s="37"/>
      <c r="G41" s="37"/>
      <c r="H41" s="37"/>
      <c r="I41" s="37"/>
      <c r="J41" s="37"/>
      <c r="K41" s="37"/>
      <c r="L41" s="36"/>
      <c r="M41" s="37"/>
      <c r="N41" s="37"/>
      <c r="O41" s="37"/>
      <c r="P41" s="37"/>
      <c r="Q41" s="37"/>
      <c r="R41" s="37"/>
      <c r="S41" s="37"/>
      <c r="T41" s="36"/>
    </row>
    <row r="42" spans="1:20" s="1" customFormat="1" ht="12.75">
      <c r="A42" s="47" t="s">
        <v>12</v>
      </c>
      <c r="B42" s="30"/>
      <c r="C42" s="30"/>
      <c r="D42" s="30"/>
      <c r="E42" s="30"/>
      <c r="F42" s="30"/>
      <c r="G42" s="30"/>
      <c r="H42" s="30"/>
      <c r="I42" s="30"/>
      <c r="J42" s="30"/>
      <c r="K42" s="30"/>
      <c r="L42" s="5"/>
      <c r="M42" s="30"/>
      <c r="N42" s="30"/>
      <c r="O42" s="30"/>
      <c r="P42" s="30"/>
      <c r="Q42" s="30"/>
      <c r="R42" s="30"/>
      <c r="S42" s="30"/>
      <c r="T42" s="5"/>
    </row>
    <row r="43" spans="1:20" s="1" customFormat="1" ht="25.5">
      <c r="A43" s="47" t="s">
        <v>16</v>
      </c>
      <c r="B43" s="30"/>
      <c r="C43" s="30"/>
      <c r="D43" s="30">
        <f>1834+28+289</f>
        <v>2151</v>
      </c>
      <c r="E43" s="30">
        <f>1502+32+234</f>
        <v>1768</v>
      </c>
      <c r="F43" s="30">
        <f>1526+72+106</f>
        <v>1704</v>
      </c>
      <c r="G43" s="30">
        <f>1721+24+323</f>
        <v>2068</v>
      </c>
      <c r="H43" s="30">
        <f>101+1687+51+156</f>
        <v>1995</v>
      </c>
      <c r="I43" s="30">
        <f>1547+47+169</f>
        <v>1763</v>
      </c>
      <c r="J43" s="30">
        <v>2151</v>
      </c>
      <c r="K43" s="30"/>
      <c r="L43" s="5"/>
      <c r="M43" s="30"/>
      <c r="N43" s="30">
        <v>2085</v>
      </c>
      <c r="O43" s="30">
        <v>2198</v>
      </c>
      <c r="P43" s="30">
        <v>2665</v>
      </c>
      <c r="Q43" s="30"/>
      <c r="R43" s="30"/>
      <c r="S43" s="30"/>
      <c r="T43" s="5"/>
    </row>
    <row r="44" spans="1:20" s="1" customFormat="1" ht="12.75">
      <c r="A44" s="46" t="s">
        <v>18</v>
      </c>
      <c r="B44" s="29">
        <f aca="true" t="shared" si="24" ref="B44:K44">SUM(B42:B43)</f>
        <v>0</v>
      </c>
      <c r="C44" s="29">
        <f t="shared" si="24"/>
        <v>0</v>
      </c>
      <c r="D44" s="29">
        <f t="shared" si="24"/>
        <v>2151</v>
      </c>
      <c r="E44" s="29">
        <f t="shared" si="24"/>
        <v>1768</v>
      </c>
      <c r="F44" s="29">
        <f t="shared" si="24"/>
        <v>1704</v>
      </c>
      <c r="G44" s="29">
        <f t="shared" si="24"/>
        <v>2068</v>
      </c>
      <c r="H44" s="29">
        <f t="shared" si="24"/>
        <v>1995</v>
      </c>
      <c r="I44" s="29">
        <f t="shared" si="24"/>
        <v>1763</v>
      </c>
      <c r="J44" s="29">
        <f t="shared" si="24"/>
        <v>2151</v>
      </c>
      <c r="K44" s="29">
        <f t="shared" si="24"/>
        <v>0</v>
      </c>
      <c r="L44" s="28"/>
      <c r="M44" s="29">
        <f aca="true" t="shared" si="25" ref="M44:T44">SUM(M42:M43)</f>
        <v>0</v>
      </c>
      <c r="N44" s="29">
        <f t="shared" si="25"/>
        <v>2085</v>
      </c>
      <c r="O44" s="29">
        <f t="shared" si="25"/>
        <v>2198</v>
      </c>
      <c r="P44" s="29">
        <f t="shared" si="25"/>
        <v>2665</v>
      </c>
      <c r="Q44" s="29">
        <f t="shared" si="25"/>
        <v>0</v>
      </c>
      <c r="R44" s="29">
        <f t="shared" si="25"/>
        <v>0</v>
      </c>
      <c r="S44" s="29">
        <f t="shared" si="25"/>
        <v>0</v>
      </c>
      <c r="T44" s="28">
        <f t="shared" si="25"/>
        <v>0</v>
      </c>
    </row>
    <row r="45" spans="1:21" s="1" customFormat="1" ht="12.75">
      <c r="A45" s="51" t="s">
        <v>14</v>
      </c>
      <c r="B45" s="35">
        <f aca="true" t="shared" si="26" ref="B45:K45">B44-B67</f>
        <v>-6411</v>
      </c>
      <c r="C45" s="35">
        <f t="shared" si="26"/>
        <v>0</v>
      </c>
      <c r="D45" s="35">
        <f t="shared" si="26"/>
        <v>-2574</v>
      </c>
      <c r="E45" s="35">
        <f t="shared" si="26"/>
        <v>-2701</v>
      </c>
      <c r="F45" s="35">
        <f t="shared" si="26"/>
        <v>-3699</v>
      </c>
      <c r="G45" s="35">
        <f t="shared" si="26"/>
        <v>-3337</v>
      </c>
      <c r="H45" s="35">
        <f t="shared" si="26"/>
        <v>-3733</v>
      </c>
      <c r="I45" s="35">
        <f t="shared" si="26"/>
        <v>-4207</v>
      </c>
      <c r="J45" s="35">
        <f t="shared" si="26"/>
        <v>-4541</v>
      </c>
      <c r="K45" s="35">
        <f t="shared" si="26"/>
        <v>0</v>
      </c>
      <c r="L45" s="34"/>
      <c r="M45" s="35">
        <f aca="true" t="shared" si="27" ref="M45:T45">M44-M67</f>
        <v>0</v>
      </c>
      <c r="N45" s="35">
        <f t="shared" si="27"/>
        <v>-4228</v>
      </c>
      <c r="O45" s="35">
        <f t="shared" si="27"/>
        <v>-4860</v>
      </c>
      <c r="P45" s="35">
        <f t="shared" si="27"/>
        <v>-4730</v>
      </c>
      <c r="Q45" s="35">
        <f t="shared" si="27"/>
        <v>0</v>
      </c>
      <c r="R45" s="35">
        <f t="shared" si="27"/>
        <v>0</v>
      </c>
      <c r="S45" s="35">
        <f t="shared" si="27"/>
        <v>0</v>
      </c>
      <c r="T45" s="34">
        <f t="shared" si="27"/>
        <v>0</v>
      </c>
      <c r="U45" s="102"/>
    </row>
    <row r="46" spans="1:20" s="1" customFormat="1" ht="12.75">
      <c r="A46" s="50"/>
      <c r="B46" s="2"/>
      <c r="C46" s="2"/>
      <c r="D46" s="2"/>
      <c r="E46" s="2"/>
      <c r="F46" s="2"/>
      <c r="G46" s="2"/>
      <c r="H46" s="2"/>
      <c r="I46" s="2"/>
      <c r="J46" s="2"/>
      <c r="K46" s="2"/>
      <c r="L46" s="5"/>
      <c r="M46" s="2"/>
      <c r="N46" s="2"/>
      <c r="O46" s="2"/>
      <c r="P46" s="2"/>
      <c r="Q46" s="2"/>
      <c r="R46" s="2"/>
      <c r="S46" s="2"/>
      <c r="T46" s="5"/>
    </row>
    <row r="47" spans="1:20" s="1" customFormat="1" ht="12.75">
      <c r="A47" s="38" t="s">
        <v>47</v>
      </c>
      <c r="B47" s="37"/>
      <c r="C47" s="37"/>
      <c r="D47" s="37"/>
      <c r="E47" s="37"/>
      <c r="F47" s="37"/>
      <c r="G47" s="37"/>
      <c r="H47" s="37"/>
      <c r="I47" s="37"/>
      <c r="J47" s="37"/>
      <c r="K47" s="37"/>
      <c r="L47" s="36"/>
      <c r="M47" s="37"/>
      <c r="N47" s="37"/>
      <c r="O47" s="37"/>
      <c r="P47" s="37"/>
      <c r="Q47" s="37"/>
      <c r="R47" s="37"/>
      <c r="S47" s="37"/>
      <c r="T47" s="36"/>
    </row>
    <row r="48" spans="1:20" s="1" customFormat="1" ht="12.75">
      <c r="A48" s="47" t="s">
        <v>12</v>
      </c>
      <c r="B48" s="2"/>
      <c r="C48" s="2"/>
      <c r="D48" s="2"/>
      <c r="E48" s="2"/>
      <c r="F48" s="2"/>
      <c r="G48" s="2"/>
      <c r="H48" s="2"/>
      <c r="I48" s="2"/>
      <c r="J48" s="2"/>
      <c r="K48" s="2"/>
      <c r="L48" s="5"/>
      <c r="M48" s="2"/>
      <c r="N48" s="2"/>
      <c r="O48" s="2"/>
      <c r="P48" s="2"/>
      <c r="Q48" s="2"/>
      <c r="R48" s="2"/>
      <c r="S48" s="2"/>
      <c r="T48" s="5"/>
    </row>
    <row r="49" spans="1:20" s="1" customFormat="1" ht="25.5">
      <c r="A49" s="47" t="s">
        <v>16</v>
      </c>
      <c r="B49" s="2"/>
      <c r="C49" s="2"/>
      <c r="D49" s="2"/>
      <c r="E49" s="2"/>
      <c r="F49" s="2"/>
      <c r="G49" s="2"/>
      <c r="H49" s="2"/>
      <c r="I49" s="2"/>
      <c r="J49" s="2"/>
      <c r="K49" s="2"/>
      <c r="L49" s="5"/>
      <c r="M49" s="2"/>
      <c r="N49" s="2"/>
      <c r="O49" s="2"/>
      <c r="P49" s="2"/>
      <c r="Q49" s="2"/>
      <c r="R49" s="2"/>
      <c r="S49" s="2"/>
      <c r="T49" s="5"/>
    </row>
    <row r="50" spans="1:20" s="1" customFormat="1" ht="12.75">
      <c r="A50" s="46" t="s">
        <v>18</v>
      </c>
      <c r="B50" s="29">
        <f aca="true" t="shared" si="28" ref="B50:K50">SUM(B48:B49)</f>
        <v>0</v>
      </c>
      <c r="C50" s="29">
        <f t="shared" si="28"/>
        <v>0</v>
      </c>
      <c r="D50" s="29">
        <f t="shared" si="28"/>
        <v>0</v>
      </c>
      <c r="E50" s="29">
        <f t="shared" si="28"/>
        <v>0</v>
      </c>
      <c r="F50" s="29">
        <f t="shared" si="28"/>
        <v>0</v>
      </c>
      <c r="G50" s="29">
        <f t="shared" si="28"/>
        <v>0</v>
      </c>
      <c r="H50" s="29">
        <f t="shared" si="28"/>
        <v>0</v>
      </c>
      <c r="I50" s="29">
        <f t="shared" si="28"/>
        <v>0</v>
      </c>
      <c r="J50" s="29">
        <f t="shared" si="28"/>
        <v>0</v>
      </c>
      <c r="K50" s="29">
        <f t="shared" si="28"/>
        <v>0</v>
      </c>
      <c r="L50" s="28"/>
      <c r="M50" s="29">
        <f aca="true" t="shared" si="29" ref="M50:T50">SUM(M48:M49)</f>
        <v>0</v>
      </c>
      <c r="N50" s="29">
        <f t="shared" si="29"/>
        <v>0</v>
      </c>
      <c r="O50" s="29">
        <f t="shared" si="29"/>
        <v>0</v>
      </c>
      <c r="P50" s="29">
        <f t="shared" si="29"/>
        <v>0</v>
      </c>
      <c r="Q50" s="29">
        <f t="shared" si="29"/>
        <v>0</v>
      </c>
      <c r="R50" s="29">
        <f t="shared" si="29"/>
        <v>0</v>
      </c>
      <c r="S50" s="29">
        <f t="shared" si="29"/>
        <v>0</v>
      </c>
      <c r="T50" s="28">
        <f t="shared" si="29"/>
        <v>0</v>
      </c>
    </row>
    <row r="51" spans="1:20" s="1" customFormat="1" ht="12.75">
      <c r="A51" s="51" t="s">
        <v>14</v>
      </c>
      <c r="B51" s="35">
        <f aca="true" t="shared" si="30" ref="B51:K51">B50-B68</f>
        <v>0</v>
      </c>
      <c r="C51" s="35">
        <f t="shared" si="30"/>
        <v>0</v>
      </c>
      <c r="D51" s="35">
        <f t="shared" si="30"/>
        <v>0</v>
      </c>
      <c r="E51" s="35">
        <f t="shared" si="30"/>
        <v>0</v>
      </c>
      <c r="F51" s="35">
        <f t="shared" si="30"/>
        <v>0</v>
      </c>
      <c r="G51" s="35">
        <f t="shared" si="30"/>
        <v>0</v>
      </c>
      <c r="H51" s="35">
        <f t="shared" si="30"/>
        <v>0</v>
      </c>
      <c r="I51" s="35">
        <f t="shared" si="30"/>
        <v>0</v>
      </c>
      <c r="J51" s="35">
        <f t="shared" si="30"/>
        <v>0</v>
      </c>
      <c r="K51" s="35">
        <f t="shared" si="30"/>
        <v>0</v>
      </c>
      <c r="L51" s="34"/>
      <c r="M51" s="35">
        <f aca="true" t="shared" si="31" ref="M51:T51">M50-M68</f>
        <v>0</v>
      </c>
      <c r="N51" s="35">
        <f t="shared" si="31"/>
        <v>0</v>
      </c>
      <c r="O51" s="35">
        <f t="shared" si="31"/>
        <v>0</v>
      </c>
      <c r="P51" s="35">
        <f t="shared" si="31"/>
        <v>0</v>
      </c>
      <c r="Q51" s="35">
        <f t="shared" si="31"/>
        <v>0</v>
      </c>
      <c r="R51" s="35">
        <f>R50-R68</f>
        <v>0</v>
      </c>
      <c r="S51" s="35">
        <f t="shared" si="31"/>
        <v>0</v>
      </c>
      <c r="T51" s="34">
        <f t="shared" si="31"/>
        <v>0</v>
      </c>
    </row>
    <row r="52" spans="1:20" s="1" customFormat="1" ht="12.75">
      <c r="A52" s="50"/>
      <c r="B52" s="2"/>
      <c r="C52" s="2"/>
      <c r="D52" s="2"/>
      <c r="E52" s="2"/>
      <c r="F52" s="2"/>
      <c r="G52" s="2"/>
      <c r="H52" s="2"/>
      <c r="I52" s="2"/>
      <c r="J52" s="2"/>
      <c r="K52" s="2"/>
      <c r="L52" s="5"/>
      <c r="M52" s="2"/>
      <c r="N52" s="2"/>
      <c r="O52" s="2"/>
      <c r="P52" s="2"/>
      <c r="Q52" s="2"/>
      <c r="R52" s="2"/>
      <c r="S52" s="2"/>
      <c r="T52" s="5"/>
    </row>
    <row r="53" spans="1:20" ht="12.75">
      <c r="A53" s="229" t="s">
        <v>13</v>
      </c>
      <c r="B53" s="230"/>
      <c r="C53" s="231"/>
      <c r="D53" s="231"/>
      <c r="E53" s="231"/>
      <c r="F53" s="231"/>
      <c r="G53" s="231"/>
      <c r="H53" s="231"/>
      <c r="I53" s="231"/>
      <c r="J53" s="231"/>
      <c r="K53" s="231"/>
      <c r="L53" s="232"/>
      <c r="M53" s="233"/>
      <c r="N53" s="233"/>
      <c r="O53" s="233"/>
      <c r="P53" s="233"/>
      <c r="Q53" s="233"/>
      <c r="R53" s="233"/>
      <c r="S53" s="233"/>
      <c r="T53" s="234"/>
    </row>
    <row r="54" spans="1:20" ht="12.75">
      <c r="A54" s="235" t="s">
        <v>12</v>
      </c>
      <c r="B54" s="195">
        <f>B18+B24+B30</f>
        <v>0</v>
      </c>
      <c r="C54" s="196">
        <f>C18+C24+C30</f>
        <v>0</v>
      </c>
      <c r="D54" s="196">
        <f>D18+D24+D30</f>
        <v>0</v>
      </c>
      <c r="E54" s="196">
        <f>E18+E24+E30</f>
        <v>0</v>
      </c>
      <c r="F54" s="196">
        <f>F18+F24+F30</f>
        <v>0</v>
      </c>
      <c r="G54" s="196">
        <f>SUM(G53:G53)</f>
        <v>0</v>
      </c>
      <c r="H54" s="196">
        <f>SUM(H53:H53)</f>
        <v>0</v>
      </c>
      <c r="I54" s="196"/>
      <c r="J54" s="196"/>
      <c r="K54" s="196"/>
      <c r="L54" s="197"/>
      <c r="M54" s="201"/>
      <c r="N54" s="201"/>
      <c r="O54" s="201"/>
      <c r="P54" s="201"/>
      <c r="Q54" s="201"/>
      <c r="R54" s="201"/>
      <c r="S54" s="201"/>
      <c r="T54" s="197"/>
    </row>
    <row r="55" spans="1:21" ht="12.75">
      <c r="A55" s="236" t="s">
        <v>11</v>
      </c>
      <c r="B55" s="237">
        <f>B19+B25+B31</f>
        <v>0</v>
      </c>
      <c r="C55" s="238">
        <f>C19+C25+C31+SUM(C37,C43,C49)</f>
        <v>1689</v>
      </c>
      <c r="D55" s="238">
        <f>D19+D25+D31+SUM(D37,D43,D49)</f>
        <v>5482</v>
      </c>
      <c r="E55" s="238">
        <f>E19+E25+E31+SUM(E37,E43,E49)</f>
        <v>3162</v>
      </c>
      <c r="F55" s="238">
        <f>SUM(F37,F43,F49)+1039</f>
        <v>3000</v>
      </c>
      <c r="G55" s="238">
        <f>G37+G43+1136</f>
        <v>3323</v>
      </c>
      <c r="H55" s="238">
        <f>862+H37+H43+H49</f>
        <v>3034</v>
      </c>
      <c r="I55" s="238">
        <v>1333</v>
      </c>
      <c r="J55" s="238">
        <f>J49+J43+J37+1436</f>
        <v>3692</v>
      </c>
      <c r="K55" s="238">
        <f>K37+K43+K49+1966</f>
        <v>1966</v>
      </c>
      <c r="L55" s="239">
        <f>L37+L43+L49+2566</f>
        <v>2566</v>
      </c>
      <c r="M55" s="240">
        <v>2566</v>
      </c>
      <c r="N55" s="240">
        <v>2441</v>
      </c>
      <c r="O55" s="240">
        <v>2922</v>
      </c>
      <c r="P55" s="240">
        <v>1251</v>
      </c>
      <c r="Q55" s="240"/>
      <c r="R55" s="240"/>
      <c r="S55" s="240"/>
      <c r="T55" s="241"/>
      <c r="U55" s="242"/>
    </row>
    <row r="56" spans="1:20" ht="25.5">
      <c r="A56" s="243" t="s">
        <v>10</v>
      </c>
      <c r="B56" s="244">
        <f>SUM(B32,B26,B20)</f>
        <v>0</v>
      </c>
      <c r="C56" s="245">
        <f>SUM(C32,C26,C20)</f>
        <v>1689</v>
      </c>
      <c r="D56" s="245">
        <f>SUM(D32,D26,D20)</f>
        <v>3228</v>
      </c>
      <c r="E56" s="245">
        <f>SUM(E32,E26,E20)</f>
        <v>1270</v>
      </c>
      <c r="F56" s="245">
        <f>SUM(F54:F55)</f>
        <v>3000</v>
      </c>
      <c r="G56" s="245">
        <f>SUM(G54:G55)</f>
        <v>3323</v>
      </c>
      <c r="H56" s="245">
        <f>SUM(H54:H55)</f>
        <v>3034</v>
      </c>
      <c r="I56" s="245">
        <f>SUM(I54:I55)+I49+I43+I37</f>
        <v>3227</v>
      </c>
      <c r="J56" s="245">
        <f aca="true" t="shared" si="32" ref="J56:P56">SUM(J54:J55)</f>
        <v>3692</v>
      </c>
      <c r="K56" s="245">
        <f t="shared" si="32"/>
        <v>1966</v>
      </c>
      <c r="L56" s="245">
        <f t="shared" si="32"/>
        <v>2566</v>
      </c>
      <c r="M56" s="246">
        <f t="shared" si="32"/>
        <v>2566</v>
      </c>
      <c r="N56" s="246">
        <f t="shared" si="32"/>
        <v>2441</v>
      </c>
      <c r="O56" s="246">
        <f t="shared" si="32"/>
        <v>2922</v>
      </c>
      <c r="P56" s="246">
        <f t="shared" si="32"/>
        <v>1251</v>
      </c>
      <c r="Q56" s="246"/>
      <c r="R56" s="246"/>
      <c r="S56" s="246"/>
      <c r="T56" s="247"/>
    </row>
    <row r="57" spans="1:20" ht="12.75">
      <c r="A57" s="248" t="s">
        <v>9</v>
      </c>
      <c r="B57" s="249">
        <f>B33+B27+B21</f>
        <v>0</v>
      </c>
      <c r="C57" s="250">
        <f>C33+C27+C21+SUM(C39,C45,C51)</f>
        <v>-5805</v>
      </c>
      <c r="D57" s="250">
        <f>D33+D27+D21+SUM(D39,D45,D51)</f>
        <v>-12720</v>
      </c>
      <c r="E57" s="250">
        <f>E33+E27+E21+SUM(E39,E45,E51)</f>
        <v>-10774</v>
      </c>
      <c r="F57" s="219">
        <f>F56-6168+F39+F45</f>
        <v>-7839</v>
      </c>
      <c r="G57" s="219">
        <f>G56-6818+G39+G45</f>
        <v>-8346</v>
      </c>
      <c r="H57" s="219">
        <f>H56-11449+H39+H45+H51</f>
        <v>-13467</v>
      </c>
      <c r="I57" s="219">
        <f>I56-9035-3994+I51+I45+I39</f>
        <v>-15344</v>
      </c>
      <c r="J57" s="219">
        <f>J56-11660+J51+J45+J39</f>
        <v>-13486</v>
      </c>
      <c r="K57" s="219">
        <f>K56-12587+K51+K45+K39</f>
        <v>-10621</v>
      </c>
      <c r="L57" s="220">
        <f>L56-12636+L51+L45+L39</f>
        <v>-10070</v>
      </c>
      <c r="M57" s="251">
        <f>M56-12636</f>
        <v>-10070</v>
      </c>
      <c r="N57" s="251">
        <f>N56-17315</f>
        <v>-14874</v>
      </c>
      <c r="O57" s="251">
        <f>O56-14244</f>
        <v>-11322</v>
      </c>
      <c r="P57" s="251">
        <f>P56-10662</f>
        <v>-9411</v>
      </c>
      <c r="Q57" s="251"/>
      <c r="R57" s="251"/>
      <c r="S57" s="251"/>
      <c r="T57" s="220"/>
    </row>
    <row r="58" spans="1:20" ht="12.75">
      <c r="A58" s="252" t="s">
        <v>8</v>
      </c>
      <c r="B58" s="205">
        <f>B59-B55-B15</f>
        <v>14351</v>
      </c>
      <c r="C58" s="206">
        <f>C59-C55-C15</f>
        <v>24262</v>
      </c>
      <c r="D58" s="206">
        <f aca="true" t="shared" si="33" ref="D58:L58">D59-D55-D15</f>
        <v>13270</v>
      </c>
      <c r="E58" s="206">
        <f t="shared" si="33"/>
        <v>19323</v>
      </c>
      <c r="F58" s="206">
        <f t="shared" si="33"/>
        <v>30422</v>
      </c>
      <c r="G58" s="206">
        <f t="shared" si="33"/>
        <v>24565</v>
      </c>
      <c r="H58" s="206">
        <f t="shared" si="33"/>
        <v>23964</v>
      </c>
      <c r="I58" s="206">
        <f t="shared" si="33"/>
        <v>23338</v>
      </c>
      <c r="J58" s="206">
        <f t="shared" si="33"/>
        <v>20902</v>
      </c>
      <c r="K58" s="206">
        <f t="shared" si="33"/>
        <v>22773</v>
      </c>
      <c r="L58" s="207">
        <f t="shared" si="33"/>
        <v>24491</v>
      </c>
      <c r="M58" s="206">
        <f>M59-M55-M15</f>
        <v>24491</v>
      </c>
      <c r="N58" s="206">
        <f>N59-N55-N15</f>
        <v>25718</v>
      </c>
      <c r="O58" s="206">
        <f>O59-O55-O15</f>
        <v>25913</v>
      </c>
      <c r="P58" s="206">
        <f>P59-P55-P15</f>
        <v>34235</v>
      </c>
      <c r="Q58" s="206"/>
      <c r="R58" s="206"/>
      <c r="S58" s="206"/>
      <c r="T58" s="207"/>
    </row>
    <row r="59" spans="1:20" ht="12.75">
      <c r="A59" s="253" t="s">
        <v>7</v>
      </c>
      <c r="B59" s="254">
        <v>35341</v>
      </c>
      <c r="C59" s="255">
        <f>2265+3544+24+19+2429+473+1214+1055+1169+93+5+34919</f>
        <v>47209</v>
      </c>
      <c r="D59" s="256">
        <v>40617</v>
      </c>
      <c r="E59" s="256">
        <v>44755</v>
      </c>
      <c r="F59" s="256">
        <v>56870</v>
      </c>
      <c r="G59" s="256">
        <v>51946</v>
      </c>
      <c r="H59" s="256">
        <v>51716</v>
      </c>
      <c r="I59" s="256">
        <v>49741</v>
      </c>
      <c r="J59" s="256">
        <v>49857</v>
      </c>
      <c r="K59" s="256">
        <v>51276</v>
      </c>
      <c r="L59" s="257">
        <v>54750</v>
      </c>
      <c r="M59" s="258">
        <v>54750</v>
      </c>
      <c r="N59" s="258">
        <v>56499</v>
      </c>
      <c r="O59" s="258">
        <v>58419</v>
      </c>
      <c r="P59" s="258">
        <v>67141</v>
      </c>
      <c r="Q59" s="258">
        <v>74002</v>
      </c>
      <c r="R59" s="258">
        <v>69640</v>
      </c>
      <c r="S59" s="258">
        <v>73259</v>
      </c>
      <c r="T59" s="259">
        <v>72664</v>
      </c>
    </row>
    <row r="60" spans="1:20" ht="12.75">
      <c r="A60" s="200"/>
      <c r="B60" s="195"/>
      <c r="C60" s="196"/>
      <c r="D60" s="196"/>
      <c r="E60" s="196"/>
      <c r="F60" s="196"/>
      <c r="G60" s="196"/>
      <c r="H60" s="196"/>
      <c r="I60" s="196"/>
      <c r="J60" s="196"/>
      <c r="K60" s="196"/>
      <c r="L60" s="197"/>
      <c r="M60" s="201"/>
      <c r="N60" s="201"/>
      <c r="O60" s="201"/>
      <c r="P60" s="201"/>
      <c r="Q60" s="201"/>
      <c r="R60" s="201"/>
      <c r="S60" s="201"/>
      <c r="T60" s="197"/>
    </row>
    <row r="61" spans="1:20" ht="12.75">
      <c r="A61" s="204" t="s">
        <v>6</v>
      </c>
      <c r="B61" s="260"/>
      <c r="C61" s="261"/>
      <c r="D61" s="261"/>
      <c r="E61" s="261"/>
      <c r="F61" s="261"/>
      <c r="G61" s="261"/>
      <c r="H61" s="261"/>
      <c r="I61" s="261"/>
      <c r="J61" s="261"/>
      <c r="K61" s="261"/>
      <c r="L61" s="262"/>
      <c r="M61" s="206"/>
      <c r="N61" s="206"/>
      <c r="O61" s="206"/>
      <c r="P61" s="206"/>
      <c r="Q61" s="206"/>
      <c r="R61" s="206"/>
      <c r="S61" s="206"/>
      <c r="T61" s="207"/>
    </row>
    <row r="62" spans="1:20" ht="25.5">
      <c r="A62" s="200" t="s">
        <v>221</v>
      </c>
      <c r="B62" s="195">
        <f>2491+128+655</f>
        <v>3274</v>
      </c>
      <c r="C62" s="196">
        <f>2621+3544+914+70+220+473</f>
        <v>7842</v>
      </c>
      <c r="D62" s="196">
        <f>3722+2584+805</f>
        <v>7111</v>
      </c>
      <c r="E62" s="196">
        <f>3888+944+1995</f>
        <v>6827</v>
      </c>
      <c r="F62" s="196">
        <f>1447+289+2368+599+1410</f>
        <v>6113</v>
      </c>
      <c r="G62" s="196">
        <f>1570+502+2140+864+1436</f>
        <v>6512</v>
      </c>
      <c r="H62" s="196">
        <f>1001+3609+1975</f>
        <v>6585</v>
      </c>
      <c r="I62" s="263">
        <f>5277+11587</f>
        <v>16864</v>
      </c>
      <c r="J62" s="263">
        <f>5297+3548+4165</f>
        <v>13010</v>
      </c>
      <c r="K62" s="263">
        <f>2808+16721</f>
        <v>19529</v>
      </c>
      <c r="L62" s="264">
        <f>12990+2648</f>
        <v>15638</v>
      </c>
      <c r="M62" s="265">
        <f>2648+12990</f>
        <v>15638</v>
      </c>
      <c r="N62" s="265">
        <f>15130+1797</f>
        <v>16927</v>
      </c>
      <c r="O62" s="265">
        <f>1307+15436</f>
        <v>16743</v>
      </c>
      <c r="P62" s="265">
        <f>6865+11215</f>
        <v>18080</v>
      </c>
      <c r="Q62" s="201"/>
      <c r="R62" s="201"/>
      <c r="S62" s="201"/>
      <c r="T62" s="197"/>
    </row>
    <row r="63" spans="1:20" ht="12.75">
      <c r="A63" s="266" t="s">
        <v>222</v>
      </c>
      <c r="B63" s="260">
        <f>30+12037</f>
        <v>12067</v>
      </c>
      <c r="C63" s="267">
        <v>34257</v>
      </c>
      <c r="D63" s="267">
        <v>32954</v>
      </c>
      <c r="E63" s="267">
        <v>35963</v>
      </c>
      <c r="F63" s="261">
        <f>14159+887</f>
        <v>15046</v>
      </c>
      <c r="G63" s="261">
        <f>15035+559</f>
        <v>15594</v>
      </c>
      <c r="H63" s="261">
        <f>15792+483</f>
        <v>16275</v>
      </c>
      <c r="I63" s="261">
        <v>16708</v>
      </c>
      <c r="J63" s="261">
        <v>15854</v>
      </c>
      <c r="K63" s="261">
        <v>13337</v>
      </c>
      <c r="L63" s="262">
        <v>14596</v>
      </c>
      <c r="M63" s="261">
        <v>14596</v>
      </c>
      <c r="N63" s="261">
        <v>14939</v>
      </c>
      <c r="O63" s="261">
        <v>16374</v>
      </c>
      <c r="P63" s="261">
        <f>17787</f>
        <v>17787</v>
      </c>
      <c r="Q63" s="261"/>
      <c r="R63" s="261"/>
      <c r="S63" s="261"/>
      <c r="T63" s="262"/>
    </row>
    <row r="64" spans="1:20" ht="25.5">
      <c r="A64" s="268" t="s">
        <v>223</v>
      </c>
      <c r="B64" s="222">
        <v>6212</v>
      </c>
      <c r="C64" s="223">
        <f>1266+1375+1057+1228</f>
        <v>4926</v>
      </c>
      <c r="D64" s="297">
        <v>10419</v>
      </c>
      <c r="E64" s="223">
        <f>2204+1379+1386</f>
        <v>4969</v>
      </c>
      <c r="F64" s="269">
        <f>6168+1229</f>
        <v>7397</v>
      </c>
      <c r="G64" s="269">
        <f>6818+1532</f>
        <v>8350</v>
      </c>
      <c r="H64" s="269">
        <f>11449+1282</f>
        <v>12731</v>
      </c>
      <c r="I64" s="269">
        <f>1140+9035-I66</f>
        <v>8709</v>
      </c>
      <c r="J64" s="269">
        <v>11660</v>
      </c>
      <c r="K64" s="269">
        <v>12587</v>
      </c>
      <c r="L64" s="270">
        <v>12636</v>
      </c>
      <c r="M64" s="271">
        <f>12636</f>
        <v>12636</v>
      </c>
      <c r="N64" s="272">
        <v>12828</v>
      </c>
      <c r="O64" s="271">
        <v>14244</v>
      </c>
      <c r="P64" s="271">
        <v>10662</v>
      </c>
      <c r="Q64" s="273"/>
      <c r="R64" s="273"/>
      <c r="S64" s="273"/>
      <c r="T64" s="274"/>
    </row>
    <row r="65" spans="1:20" ht="12.75">
      <c r="A65" s="275" t="s">
        <v>5</v>
      </c>
      <c r="B65" s="209"/>
      <c r="C65" s="210">
        <v>5121</v>
      </c>
      <c r="D65" s="210"/>
      <c r="E65" s="210">
        <v>4623</v>
      </c>
      <c r="F65" s="210"/>
      <c r="G65" s="210"/>
      <c r="H65" s="210"/>
      <c r="I65" s="210"/>
      <c r="J65" s="210"/>
      <c r="K65" s="210"/>
      <c r="L65" s="211"/>
      <c r="M65" s="210"/>
      <c r="N65" s="210"/>
      <c r="O65" s="210"/>
      <c r="P65" s="210"/>
      <c r="Q65" s="210"/>
      <c r="R65" s="210"/>
      <c r="S65" s="210"/>
      <c r="T65" s="211"/>
    </row>
    <row r="66" spans="1:20" ht="12.75">
      <c r="A66" s="118" t="s">
        <v>42</v>
      </c>
      <c r="B66" s="119">
        <v>647</v>
      </c>
      <c r="C66" s="119"/>
      <c r="D66" s="119">
        <v>1383</v>
      </c>
      <c r="E66" s="119">
        <v>1254</v>
      </c>
      <c r="F66" s="119">
        <f>1229</f>
        <v>1229</v>
      </c>
      <c r="G66" s="119">
        <v>1633</v>
      </c>
      <c r="H66" s="119">
        <f>1496</f>
        <v>1496</v>
      </c>
      <c r="I66" s="119">
        <v>1466</v>
      </c>
      <c r="J66" s="119">
        <v>1082</v>
      </c>
      <c r="K66" s="119"/>
      <c r="L66" s="122"/>
      <c r="M66" s="119"/>
      <c r="N66" s="119">
        <v>1234</v>
      </c>
      <c r="O66" s="119">
        <v>1470</v>
      </c>
      <c r="P66" s="119">
        <v>1387</v>
      </c>
      <c r="Q66" s="119"/>
      <c r="R66" s="119"/>
      <c r="S66" s="119"/>
      <c r="T66" s="122"/>
    </row>
    <row r="67" spans="1:20" ht="12.75">
      <c r="A67" s="117" t="s">
        <v>50</v>
      </c>
      <c r="B67" s="120">
        <f>1115+4910+386</f>
        <v>6411</v>
      </c>
      <c r="C67" s="120"/>
      <c r="D67" s="125">
        <f>2533+1400+792</f>
        <v>4725</v>
      </c>
      <c r="E67" s="125">
        <f>2332+1339+798</f>
        <v>4469</v>
      </c>
      <c r="F67" s="125">
        <f>2487+1410+631+875</f>
        <v>5403</v>
      </c>
      <c r="G67" s="125">
        <f>2728+1472+1205</f>
        <v>5405</v>
      </c>
      <c r="H67" s="125">
        <f>232+2798+1578+1120</f>
        <v>5728</v>
      </c>
      <c r="I67" s="125">
        <f>2842+1246+1882</f>
        <v>5970</v>
      </c>
      <c r="J67" s="125">
        <f>6692</f>
        <v>6692</v>
      </c>
      <c r="K67" s="120"/>
      <c r="L67" s="123"/>
      <c r="M67" s="120"/>
      <c r="N67" s="125">
        <v>6313</v>
      </c>
      <c r="O67" s="125">
        <v>7058</v>
      </c>
      <c r="P67" s="125">
        <v>7395</v>
      </c>
      <c r="Q67" s="120"/>
      <c r="R67" s="120"/>
      <c r="S67" s="120"/>
      <c r="T67" s="123"/>
    </row>
    <row r="68" spans="1:20" ht="12.75">
      <c r="A68" s="117" t="s">
        <v>41</v>
      </c>
      <c r="B68" s="119"/>
      <c r="C68" s="119"/>
      <c r="D68" s="119"/>
      <c r="E68" s="119"/>
      <c r="F68" s="119"/>
      <c r="G68" s="119"/>
      <c r="H68" s="119"/>
      <c r="I68" s="119"/>
      <c r="J68" s="119"/>
      <c r="K68" s="119"/>
      <c r="L68" s="122"/>
      <c r="M68" s="119"/>
      <c r="N68" s="119"/>
      <c r="O68" s="119"/>
      <c r="P68" s="119"/>
      <c r="Q68" s="119"/>
      <c r="R68" s="119"/>
      <c r="S68" s="119"/>
      <c r="T68" s="122"/>
    </row>
    <row r="69" spans="1:20" ht="51">
      <c r="A69" s="276" t="s">
        <v>4</v>
      </c>
      <c r="B69" s="277">
        <f>30708-SUM(B62:B68)</f>
        <v>2097</v>
      </c>
      <c r="C69" s="278"/>
      <c r="D69" s="278"/>
      <c r="E69" s="278">
        <f>64315-SUM(E62:E67)</f>
        <v>6210</v>
      </c>
      <c r="F69" s="278">
        <f>43346-SUM(F62:F68)</f>
        <v>8158</v>
      </c>
      <c r="G69" s="278">
        <f>43873-SUM(G62:G68)</f>
        <v>6379</v>
      </c>
      <c r="H69" s="278">
        <f>43663-SUM(H62:H68)</f>
        <v>848</v>
      </c>
      <c r="I69" s="278">
        <f>48531-SUM(I62:I68)</f>
        <v>-1186</v>
      </c>
      <c r="J69" s="278">
        <f>45787-SUM(J62:J68)</f>
        <v>-2511</v>
      </c>
      <c r="K69" s="278"/>
      <c r="L69" s="279"/>
      <c r="M69" s="228">
        <f>45814-SUM(M62:M68)</f>
        <v>2944</v>
      </c>
      <c r="N69" s="228">
        <f>46283-SUM(N62:N68)</f>
        <v>-5958</v>
      </c>
      <c r="O69" s="228">
        <f>49700-SUM(O62:O68)</f>
        <v>-6189</v>
      </c>
      <c r="P69" s="228">
        <f>50785-SUM(P62:P68)</f>
        <v>-4526</v>
      </c>
      <c r="Q69" s="280">
        <f>55138-36788</f>
        <v>18350</v>
      </c>
      <c r="R69" s="280">
        <f>61275-42488-2999</f>
        <v>15788</v>
      </c>
      <c r="S69" s="280">
        <f>66711-45994-2331</f>
        <v>18386</v>
      </c>
      <c r="T69" s="281">
        <f>65023-1786-44178</f>
        <v>19059</v>
      </c>
    </row>
    <row r="70" spans="1:20" ht="25.5">
      <c r="A70" s="276" t="s">
        <v>3</v>
      </c>
      <c r="B70" s="277">
        <f>B72-30708</f>
        <v>3372</v>
      </c>
      <c r="C70" s="278"/>
      <c r="D70" s="278"/>
      <c r="E70" s="278">
        <f>E72-64315</f>
        <v>4051</v>
      </c>
      <c r="F70" s="278">
        <f>F72-43346</f>
        <v>14984</v>
      </c>
      <c r="G70" s="278">
        <f>G72-43873</f>
        <v>5017</v>
      </c>
      <c r="H70" s="278">
        <f>H72-43663</f>
        <v>9567</v>
      </c>
      <c r="I70" s="278">
        <f>I72-48531</f>
        <v>7722</v>
      </c>
      <c r="J70" s="278">
        <f>J72-45787</f>
        <v>5594</v>
      </c>
      <c r="K70" s="278"/>
      <c r="L70" s="279"/>
      <c r="M70" s="228">
        <f>M72-45814</f>
        <v>6023</v>
      </c>
      <c r="N70" s="228">
        <f>N72-46283</f>
        <v>7587</v>
      </c>
      <c r="O70" s="228">
        <f>O72-49700</f>
        <v>8305</v>
      </c>
      <c r="P70" s="228">
        <f>P72-50785</f>
        <v>6581</v>
      </c>
      <c r="Q70" s="228">
        <f>Q72-55138</f>
        <v>4794</v>
      </c>
      <c r="R70" s="228">
        <f>R72-61275</f>
        <v>3411</v>
      </c>
      <c r="S70" s="228">
        <f>S72-66711</f>
        <v>3484</v>
      </c>
      <c r="T70" s="282">
        <f>T72-65023</f>
        <v>3582</v>
      </c>
    </row>
    <row r="71" spans="1:20" ht="63.75">
      <c r="A71" s="200" t="s">
        <v>2</v>
      </c>
      <c r="B71" s="283">
        <f>B72-SUM(B62:B67)</f>
        <v>5469</v>
      </c>
      <c r="C71" s="283">
        <f aca="true" t="shared" si="34" ref="C71:T71">C72-SUM(C62:C67)</f>
        <v>18942</v>
      </c>
      <c r="D71" s="283">
        <f t="shared" si="34"/>
        <v>6034</v>
      </c>
      <c r="E71" s="283">
        <f t="shared" si="34"/>
        <v>10261</v>
      </c>
      <c r="F71" s="283">
        <f t="shared" si="34"/>
        <v>23142</v>
      </c>
      <c r="G71" s="283">
        <f t="shared" si="34"/>
        <v>11396</v>
      </c>
      <c r="H71" s="283">
        <f t="shared" si="34"/>
        <v>10415</v>
      </c>
      <c r="I71" s="283">
        <f t="shared" si="34"/>
        <v>6536</v>
      </c>
      <c r="J71" s="283">
        <f t="shared" si="34"/>
        <v>3083</v>
      </c>
      <c r="K71" s="283">
        <f t="shared" si="34"/>
        <v>8825</v>
      </c>
      <c r="L71" s="283">
        <f t="shared" si="34"/>
        <v>8967</v>
      </c>
      <c r="M71" s="283">
        <f t="shared" si="34"/>
        <v>8967</v>
      </c>
      <c r="N71" s="283">
        <f t="shared" si="34"/>
        <v>1629</v>
      </c>
      <c r="O71" s="283">
        <f t="shared" si="34"/>
        <v>2116</v>
      </c>
      <c r="P71" s="283">
        <f t="shared" si="34"/>
        <v>2055</v>
      </c>
      <c r="Q71" s="283">
        <f t="shared" si="34"/>
        <v>59932</v>
      </c>
      <c r="R71" s="283">
        <f t="shared" si="34"/>
        <v>64686</v>
      </c>
      <c r="S71" s="283">
        <f t="shared" si="34"/>
        <v>70195</v>
      </c>
      <c r="T71" s="283">
        <f t="shared" si="34"/>
        <v>68605</v>
      </c>
    </row>
    <row r="72" spans="1:20" ht="12.75">
      <c r="A72" s="253" t="s">
        <v>1</v>
      </c>
      <c r="B72" s="284">
        <v>34080</v>
      </c>
      <c r="C72" s="285">
        <f>2265+3544+24+19+2429+473+1214+1055+1169+93+5+58798</f>
        <v>71088</v>
      </c>
      <c r="D72" s="258">
        <v>62626</v>
      </c>
      <c r="E72" s="258">
        <v>68366</v>
      </c>
      <c r="F72" s="258">
        <v>58330</v>
      </c>
      <c r="G72" s="258">
        <v>48890</v>
      </c>
      <c r="H72" s="258">
        <v>53230</v>
      </c>
      <c r="I72" s="258">
        <v>56253</v>
      </c>
      <c r="J72" s="258">
        <v>51381</v>
      </c>
      <c r="K72" s="258">
        <v>54278</v>
      </c>
      <c r="L72" s="259">
        <v>51837</v>
      </c>
      <c r="M72" s="258">
        <v>51837</v>
      </c>
      <c r="N72" s="258">
        <v>53870</v>
      </c>
      <c r="O72" s="258">
        <v>58005</v>
      </c>
      <c r="P72" s="258">
        <v>57366</v>
      </c>
      <c r="Q72" s="258">
        <v>59932</v>
      </c>
      <c r="R72" s="258">
        <v>64686</v>
      </c>
      <c r="S72" s="258">
        <f>70195</f>
        <v>70195</v>
      </c>
      <c r="T72" s="259">
        <v>68605</v>
      </c>
    </row>
    <row r="73" spans="1:20" ht="12.75">
      <c r="A73" s="286"/>
      <c r="B73" s="195"/>
      <c r="C73" s="196"/>
      <c r="D73" s="196"/>
      <c r="E73" s="196"/>
      <c r="F73" s="203"/>
      <c r="G73" s="203"/>
      <c r="H73" s="203"/>
      <c r="I73" s="203"/>
      <c r="J73" s="203"/>
      <c r="K73" s="203"/>
      <c r="L73" s="199"/>
      <c r="M73" s="201"/>
      <c r="N73" s="201"/>
      <c r="O73" s="201"/>
      <c r="P73" s="201"/>
      <c r="Q73" s="201"/>
      <c r="R73" s="201"/>
      <c r="S73" s="201"/>
      <c r="T73" s="197"/>
    </row>
    <row r="74" spans="1:20" ht="12.75">
      <c r="A74" s="287" t="s">
        <v>0</v>
      </c>
      <c r="B74" s="288">
        <v>383400</v>
      </c>
      <c r="C74" s="289">
        <v>370244</v>
      </c>
      <c r="D74" s="289">
        <v>383685</v>
      </c>
      <c r="E74" s="289">
        <v>359104</v>
      </c>
      <c r="F74" s="289">
        <v>346384</v>
      </c>
      <c r="G74" s="289">
        <v>350449</v>
      </c>
      <c r="H74" s="289">
        <v>369441</v>
      </c>
      <c r="I74" s="289">
        <v>382713</v>
      </c>
      <c r="J74" s="289">
        <v>563773</v>
      </c>
      <c r="K74" s="289">
        <v>566040</v>
      </c>
      <c r="L74" s="290">
        <v>568140</v>
      </c>
      <c r="M74" s="289">
        <v>568140</v>
      </c>
      <c r="N74" s="289">
        <v>563120</v>
      </c>
      <c r="O74" s="289">
        <v>562539</v>
      </c>
      <c r="P74" s="289">
        <v>921641</v>
      </c>
      <c r="Q74" s="289">
        <v>1418722</v>
      </c>
      <c r="R74" s="289">
        <v>1495714</v>
      </c>
      <c r="S74" s="289">
        <v>1729984</v>
      </c>
      <c r="T74" s="290">
        <v>1711702</v>
      </c>
    </row>
    <row r="75" spans="12:13" ht="12.75">
      <c r="L75" s="295"/>
      <c r="M75" s="296"/>
    </row>
    <row r="76" ht="12.75">
      <c r="L76" s="295"/>
    </row>
    <row r="77" ht="12.75"/>
    <row r="78" ht="12.75"/>
    <row r="79" ht="12.75"/>
    <row r="80" ht="12.75"/>
    <row r="81" ht="12.75"/>
    <row r="82" ht="12.75"/>
    <row r="83" ht="12.75"/>
    <row r="84" ht="12.75"/>
    <row r="85" ht="12.75"/>
    <row r="86" ht="12.75"/>
    <row r="87" ht="12.75"/>
    <row r="88" ht="12.75"/>
    <row r="89" ht="12.75"/>
  </sheetData>
  <sheetProtection/>
  <mergeCells count="1">
    <mergeCell ref="B1:T1"/>
  </mergeCell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V74"/>
  <sheetViews>
    <sheetView zoomScale="70" zoomScaleNormal="70" zoomScalePageLayoutView="0" workbookViewId="0" topLeftCell="A1">
      <pane xSplit="1" ySplit="2" topLeftCell="B31" activePane="bottomRight" state="frozen"/>
      <selection pane="topLeft" activeCell="H29" sqref="H29"/>
      <selection pane="topRight" activeCell="H29" sqref="H29"/>
      <selection pane="bottomLeft" activeCell="H29" sqref="H29"/>
      <selection pane="bottomRight" activeCell="T18" sqref="T18"/>
    </sheetView>
  </sheetViews>
  <sheetFormatPr defaultColWidth="9.140625" defaultRowHeight="15" outlineLevelRow="1"/>
  <cols>
    <col min="1" max="1" width="32.421875" style="2" customWidth="1"/>
    <col min="2" max="16384" width="9.140625" style="1" customWidth="1"/>
  </cols>
  <sheetData>
    <row r="1" spans="1:20" ht="12.75">
      <c r="A1" s="21"/>
      <c r="B1" s="488" t="s">
        <v>33</v>
      </c>
      <c r="C1" s="489"/>
      <c r="D1" s="489"/>
      <c r="E1" s="489"/>
      <c r="F1" s="489"/>
      <c r="G1" s="489"/>
      <c r="H1" s="489"/>
      <c r="I1" s="489"/>
      <c r="J1" s="489"/>
      <c r="K1" s="489"/>
      <c r="L1" s="489"/>
      <c r="M1" s="489"/>
      <c r="N1" s="489"/>
      <c r="O1" s="489"/>
      <c r="P1" s="489"/>
      <c r="Q1" s="489"/>
      <c r="R1" s="489"/>
      <c r="S1" s="489"/>
      <c r="T1" s="489"/>
    </row>
    <row r="2" spans="1:19" ht="12.75">
      <c r="A2" s="43"/>
      <c r="B2" s="88">
        <v>1991</v>
      </c>
      <c r="C2" s="88">
        <v>1992</v>
      </c>
      <c r="D2" s="88">
        <v>1993</v>
      </c>
      <c r="E2" s="88">
        <v>1994</v>
      </c>
      <c r="F2" s="88">
        <v>1995</v>
      </c>
      <c r="G2" s="88">
        <v>1996</v>
      </c>
      <c r="H2" s="44">
        <v>1997</v>
      </c>
      <c r="I2" s="44">
        <v>1998</v>
      </c>
      <c r="J2" s="44">
        <v>1999</v>
      </c>
      <c r="K2" s="44">
        <v>2000</v>
      </c>
      <c r="L2" s="44">
        <v>2001</v>
      </c>
      <c r="M2" s="44">
        <v>2002</v>
      </c>
      <c r="N2" s="44">
        <v>2003</v>
      </c>
      <c r="O2" s="44">
        <v>2004</v>
      </c>
      <c r="P2" s="44">
        <v>2005</v>
      </c>
      <c r="Q2" s="44">
        <v>2006</v>
      </c>
      <c r="R2" s="44">
        <v>2007</v>
      </c>
      <c r="S2" s="43">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v>2987</v>
      </c>
      <c r="C5" s="2">
        <v>2887</v>
      </c>
      <c r="D5" s="2">
        <v>2887</v>
      </c>
      <c r="E5" s="2">
        <v>2887</v>
      </c>
      <c r="F5" s="2"/>
      <c r="G5" s="2">
        <v>2839</v>
      </c>
      <c r="H5" s="2">
        <v>2543</v>
      </c>
      <c r="I5" s="2">
        <v>1800</v>
      </c>
      <c r="J5" s="2">
        <v>0</v>
      </c>
      <c r="K5" s="2">
        <v>1800</v>
      </c>
      <c r="L5" s="2">
        <v>2000</v>
      </c>
      <c r="M5" s="2">
        <v>2200</v>
      </c>
      <c r="N5" s="2">
        <v>2200</v>
      </c>
      <c r="O5" s="2">
        <v>2496</v>
      </c>
      <c r="P5" s="2">
        <v>908</v>
      </c>
      <c r="Q5" s="2">
        <v>1004</v>
      </c>
      <c r="R5" s="2">
        <v>1101</v>
      </c>
      <c r="S5" s="5">
        <v>1213</v>
      </c>
    </row>
    <row r="6" spans="1:19" ht="12.75">
      <c r="A6" s="47" t="s">
        <v>28</v>
      </c>
      <c r="B6" s="2"/>
      <c r="C6" s="2"/>
      <c r="D6" s="2"/>
      <c r="E6" s="2"/>
      <c r="F6" s="2"/>
      <c r="G6" s="2"/>
      <c r="H6" s="2"/>
      <c r="I6" s="2"/>
      <c r="J6" s="2"/>
      <c r="K6" s="2"/>
      <c r="L6" s="2"/>
      <c r="M6" s="2"/>
      <c r="N6" s="2"/>
      <c r="O6" s="2"/>
      <c r="P6" s="2">
        <v>1770</v>
      </c>
      <c r="Q6" s="2">
        <v>1981</v>
      </c>
      <c r="R6" s="2">
        <v>2216</v>
      </c>
      <c r="S6" s="5">
        <v>2330</v>
      </c>
    </row>
    <row r="7" spans="1:19" ht="12.75">
      <c r="A7" s="47" t="s">
        <v>27</v>
      </c>
      <c r="B7" s="2"/>
      <c r="C7" s="2"/>
      <c r="D7" s="2"/>
      <c r="E7" s="2"/>
      <c r="F7" s="2"/>
      <c r="G7" s="2"/>
      <c r="H7" s="2"/>
      <c r="I7" s="2"/>
      <c r="J7" s="2"/>
      <c r="K7" s="2"/>
      <c r="L7" s="2"/>
      <c r="M7" s="2"/>
      <c r="N7" s="2"/>
      <c r="O7" s="2"/>
      <c r="P7" s="2"/>
      <c r="Q7" s="2"/>
      <c r="R7" s="2"/>
      <c r="S7" s="5"/>
    </row>
    <row r="8" spans="1:19" ht="12.75">
      <c r="A8" s="47" t="s">
        <v>379</v>
      </c>
      <c r="B8" s="2"/>
      <c r="C8" s="2"/>
      <c r="D8" s="2"/>
      <c r="E8" s="2"/>
      <c r="F8" s="2"/>
      <c r="G8" s="2"/>
      <c r="H8" s="2"/>
      <c r="I8" s="2"/>
      <c r="J8" s="2"/>
      <c r="K8" s="2"/>
      <c r="L8" s="2"/>
      <c r="M8" s="2"/>
      <c r="N8" s="2"/>
      <c r="O8" s="2"/>
      <c r="P8" s="2"/>
      <c r="Q8" s="2"/>
      <c r="R8" s="2"/>
      <c r="S8" s="5"/>
    </row>
    <row r="9" spans="1:19" ht="12.75">
      <c r="A9" s="59" t="s">
        <v>35</v>
      </c>
      <c r="B9" s="78">
        <f>B36</f>
        <v>1725</v>
      </c>
      <c r="C9" s="78">
        <f>C36</f>
        <v>2911</v>
      </c>
      <c r="D9" s="78">
        <f>D36</f>
        <v>2780</v>
      </c>
      <c r="E9" s="78">
        <f>E36</f>
        <v>2504</v>
      </c>
      <c r="F9" s="13"/>
      <c r="G9" s="13">
        <v>3011</v>
      </c>
      <c r="H9" s="13">
        <v>2657</v>
      </c>
      <c r="I9" s="13">
        <f>I36</f>
        <v>2168</v>
      </c>
      <c r="J9" s="13">
        <f>J36</f>
        <v>2184</v>
      </c>
      <c r="K9" s="13">
        <f>K36</f>
        <v>2156</v>
      </c>
      <c r="L9" s="13">
        <f>L36</f>
        <v>2324</v>
      </c>
      <c r="M9" s="13">
        <f>M36</f>
        <v>2248</v>
      </c>
      <c r="N9" s="13">
        <f aca="true" t="shared" si="0" ref="N9:S9">N36</f>
        <v>2351</v>
      </c>
      <c r="O9" s="13">
        <f t="shared" si="0"/>
        <v>2774</v>
      </c>
      <c r="P9" s="13">
        <f t="shared" si="0"/>
        <v>3821</v>
      </c>
      <c r="Q9" s="13">
        <f t="shared" si="0"/>
        <v>4036</v>
      </c>
      <c r="R9" s="13">
        <f t="shared" si="0"/>
        <v>4490</v>
      </c>
      <c r="S9" s="12">
        <f t="shared" si="0"/>
        <v>4688</v>
      </c>
    </row>
    <row r="10" spans="1:19" ht="12.75">
      <c r="A10" s="59" t="s">
        <v>43</v>
      </c>
      <c r="B10" s="78">
        <f>B48</f>
        <v>1478</v>
      </c>
      <c r="C10" s="78">
        <f>C48</f>
        <v>1065</v>
      </c>
      <c r="D10" s="78">
        <f>D48</f>
        <v>1112</v>
      </c>
      <c r="E10" s="78">
        <f>E48</f>
        <v>1113</v>
      </c>
      <c r="F10" s="13"/>
      <c r="G10" s="13">
        <v>1153</v>
      </c>
      <c r="H10" s="13">
        <f aca="true" t="shared" si="1" ref="H10:M10">H48</f>
        <v>1027</v>
      </c>
      <c r="I10" s="13">
        <f t="shared" si="1"/>
        <v>1041</v>
      </c>
      <c r="J10" s="13">
        <f t="shared" si="1"/>
        <v>1148</v>
      </c>
      <c r="K10" s="13">
        <f t="shared" si="1"/>
        <v>1269</v>
      </c>
      <c r="L10" s="13">
        <f t="shared" si="1"/>
        <v>1239</v>
      </c>
      <c r="M10" s="13">
        <f t="shared" si="1"/>
        <v>1428</v>
      </c>
      <c r="N10" s="13">
        <f aca="true" t="shared" si="2" ref="N10:S10">N48</f>
        <v>1140</v>
      </c>
      <c r="O10" s="13">
        <f t="shared" si="2"/>
        <v>1294</v>
      </c>
      <c r="P10" s="13">
        <f t="shared" si="2"/>
        <v>1457</v>
      </c>
      <c r="Q10" s="13">
        <f t="shared" si="2"/>
        <v>1521</v>
      </c>
      <c r="R10" s="13">
        <f t="shared" si="2"/>
        <v>1598</v>
      </c>
      <c r="S10" s="12">
        <f t="shared" si="2"/>
        <v>1653</v>
      </c>
    </row>
    <row r="11" spans="1:19" ht="12.75">
      <c r="A11" s="59" t="s">
        <v>44</v>
      </c>
      <c r="B11" s="78">
        <f>B42</f>
        <v>0</v>
      </c>
      <c r="C11" s="78">
        <f>C42</f>
        <v>0</v>
      </c>
      <c r="D11" s="78">
        <f>D42</f>
        <v>0</v>
      </c>
      <c r="E11" s="78">
        <f>E42</f>
        <v>0</v>
      </c>
      <c r="F11" s="13"/>
      <c r="G11" s="13"/>
      <c r="H11" s="13">
        <f aca="true" t="shared" si="3" ref="H11:M11">H42</f>
        <v>0</v>
      </c>
      <c r="I11" s="13">
        <f t="shared" si="3"/>
        <v>0</v>
      </c>
      <c r="J11" s="13">
        <f t="shared" si="3"/>
        <v>0</v>
      </c>
      <c r="K11" s="13">
        <f t="shared" si="3"/>
        <v>0</v>
      </c>
      <c r="L11" s="13">
        <f t="shared" si="3"/>
        <v>0</v>
      </c>
      <c r="M11" s="13">
        <f t="shared" si="3"/>
        <v>0</v>
      </c>
      <c r="N11" s="13">
        <f aca="true" t="shared" si="4" ref="N11:S11">N42</f>
        <v>0</v>
      </c>
      <c r="O11" s="13">
        <f t="shared" si="4"/>
        <v>0</v>
      </c>
      <c r="P11" s="13">
        <f t="shared" si="4"/>
        <v>0</v>
      </c>
      <c r="Q11" s="13">
        <f t="shared" si="4"/>
        <v>0</v>
      </c>
      <c r="R11" s="13">
        <f t="shared" si="4"/>
        <v>0</v>
      </c>
      <c r="S11" s="12">
        <f t="shared" si="4"/>
        <v>0</v>
      </c>
    </row>
    <row r="12" spans="1:19" ht="12.75">
      <c r="A12" s="47" t="s">
        <v>25</v>
      </c>
      <c r="B12" s="2"/>
      <c r="C12" s="2"/>
      <c r="D12" s="2"/>
      <c r="E12" s="2"/>
      <c r="F12" s="2"/>
      <c r="G12" s="2"/>
      <c r="H12" s="2"/>
      <c r="I12" s="2"/>
      <c r="J12" s="2"/>
      <c r="K12" s="2"/>
      <c r="L12" s="2"/>
      <c r="M12" s="2"/>
      <c r="N12" s="2"/>
      <c r="O12" s="2"/>
      <c r="P12" s="2"/>
      <c r="Q12" s="2"/>
      <c r="R12" s="2"/>
      <c r="S12" s="5"/>
    </row>
    <row r="13" spans="1:19" ht="12.75">
      <c r="A13" s="46" t="s">
        <v>24</v>
      </c>
      <c r="B13" s="42">
        <v>4897</v>
      </c>
      <c r="C13" s="42">
        <v>3976</v>
      </c>
      <c r="D13" s="42">
        <v>3888</v>
      </c>
      <c r="E13" s="42">
        <v>4013</v>
      </c>
      <c r="F13" s="42"/>
      <c r="G13" s="42">
        <f>3011+1153</f>
        <v>4164</v>
      </c>
      <c r="H13" s="42">
        <v>4091</v>
      </c>
      <c r="I13" s="42">
        <v>4307</v>
      </c>
      <c r="J13" s="42">
        <v>4438</v>
      </c>
      <c r="K13" s="42">
        <v>4593</v>
      </c>
      <c r="L13" s="42">
        <v>4694</v>
      </c>
      <c r="M13" s="42">
        <v>5005</v>
      </c>
      <c r="N13" s="42">
        <v>5052</v>
      </c>
      <c r="O13" s="42">
        <v>5406</v>
      </c>
      <c r="P13" s="42">
        <f>5721+P6</f>
        <v>7491</v>
      </c>
      <c r="Q13" s="42">
        <f>Q6+5940</f>
        <v>7921</v>
      </c>
      <c r="R13" s="42">
        <f>6517+R6</f>
        <v>8733</v>
      </c>
      <c r="S13" s="28">
        <f>S6+6816</f>
        <v>9146</v>
      </c>
    </row>
    <row r="14" spans="1:19" ht="12.75">
      <c r="A14" s="47" t="s">
        <v>23</v>
      </c>
      <c r="B14" s="2"/>
      <c r="C14" s="2"/>
      <c r="D14" s="2"/>
      <c r="E14" s="2"/>
      <c r="F14" s="2"/>
      <c r="G14" s="2"/>
      <c r="H14" s="2">
        <f>-25</f>
        <v>-25</v>
      </c>
      <c r="I14" s="2">
        <v>0</v>
      </c>
      <c r="J14" s="2"/>
      <c r="K14" s="2"/>
      <c r="L14" s="2"/>
      <c r="M14" s="2"/>
      <c r="N14" s="2"/>
      <c r="O14" s="2"/>
      <c r="P14" s="2"/>
      <c r="Q14" s="2"/>
      <c r="R14" s="2"/>
      <c r="S14" s="5"/>
    </row>
    <row r="15" spans="1:19" ht="12.75">
      <c r="A15" s="48" t="s">
        <v>22</v>
      </c>
      <c r="B15" s="17">
        <f>SUM(B13,B5)</f>
        <v>7884</v>
      </c>
      <c r="C15" s="17">
        <f>SUM(C5,C13)</f>
        <v>6863</v>
      </c>
      <c r="D15" s="17">
        <v>6775</v>
      </c>
      <c r="E15" s="17">
        <v>6900</v>
      </c>
      <c r="F15" s="17"/>
      <c r="G15" s="17">
        <f>SUM(G5,G13)</f>
        <v>7003</v>
      </c>
      <c r="H15" s="17">
        <f>SUM(H5,H13,H14)</f>
        <v>6609</v>
      </c>
      <c r="I15" s="17">
        <f>SUM(I5,I13,I14)</f>
        <v>6107</v>
      </c>
      <c r="J15" s="17">
        <f>SUM(J5,J13,J14)</f>
        <v>4438</v>
      </c>
      <c r="K15" s="17">
        <f>SUM(K5,K13,K14)</f>
        <v>6393</v>
      </c>
      <c r="L15" s="17">
        <f>SUM(L5,L13,L14)</f>
        <v>6694</v>
      </c>
      <c r="M15" s="17">
        <v>7205</v>
      </c>
      <c r="N15" s="17">
        <f>SUM(N5,N13)</f>
        <v>7252</v>
      </c>
      <c r="O15" s="17">
        <f>SUM(O13,O5)</f>
        <v>7902</v>
      </c>
      <c r="P15" s="17">
        <v>8399</v>
      </c>
      <c r="Q15" s="17">
        <v>8925</v>
      </c>
      <c r="R15" s="17">
        <v>9834</v>
      </c>
      <c r="S15" s="16">
        <v>10359</v>
      </c>
    </row>
    <row r="16" spans="1:19" ht="12.75">
      <c r="A16" s="5"/>
      <c r="B16" s="42"/>
      <c r="C16" s="42"/>
      <c r="D16" s="42"/>
      <c r="E16" s="42"/>
      <c r="F16" s="42"/>
      <c r="G16" s="42"/>
      <c r="H16" s="42"/>
      <c r="I16" s="42"/>
      <c r="J16" s="42"/>
      <c r="K16" s="42"/>
      <c r="L16" s="42"/>
      <c r="M16" s="42"/>
      <c r="N16" s="42"/>
      <c r="O16" s="42"/>
      <c r="P16" s="42"/>
      <c r="Q16" s="42"/>
      <c r="R16" s="42"/>
      <c r="S16" s="28"/>
    </row>
    <row r="17" spans="1:19" ht="12.75" outlineLevel="1">
      <c r="A17" s="41" t="s">
        <v>21</v>
      </c>
      <c r="B17" s="40"/>
      <c r="C17" s="40"/>
      <c r="D17" s="40"/>
      <c r="E17" s="40"/>
      <c r="F17" s="40"/>
      <c r="G17" s="40"/>
      <c r="H17" s="40"/>
      <c r="I17" s="40"/>
      <c r="J17" s="40"/>
      <c r="K17" s="40"/>
      <c r="L17" s="40"/>
      <c r="M17" s="40"/>
      <c r="N17" s="40"/>
      <c r="O17" s="40"/>
      <c r="P17" s="40"/>
      <c r="Q17" s="40"/>
      <c r="R17" s="40"/>
      <c r="S17" s="39"/>
    </row>
    <row r="18" spans="1:19" ht="12.75" outlineLevel="1">
      <c r="A18" s="47" t="s">
        <v>12</v>
      </c>
      <c r="B18" s="30"/>
      <c r="C18" s="30"/>
      <c r="D18" s="30"/>
      <c r="E18" s="30"/>
      <c r="F18" s="30"/>
      <c r="G18" s="30"/>
      <c r="H18" s="30"/>
      <c r="I18" s="30"/>
      <c r="J18" s="30"/>
      <c r="K18" s="30"/>
      <c r="L18" s="30"/>
      <c r="M18" s="30"/>
      <c r="N18" s="30"/>
      <c r="O18" s="30"/>
      <c r="P18" s="30"/>
      <c r="Q18" s="30"/>
      <c r="R18" s="30"/>
      <c r="S18" s="5"/>
    </row>
    <row r="19" spans="1:19" ht="25.5" outlineLevel="1">
      <c r="A19" s="47" t="s">
        <v>16</v>
      </c>
      <c r="B19" s="30"/>
      <c r="C19" s="30"/>
      <c r="D19" s="30"/>
      <c r="E19" s="30"/>
      <c r="F19" s="30"/>
      <c r="G19" s="30"/>
      <c r="H19" s="30"/>
      <c r="I19" s="30"/>
      <c r="J19" s="30"/>
      <c r="K19" s="30"/>
      <c r="L19" s="30"/>
      <c r="M19" s="30"/>
      <c r="N19" s="30"/>
      <c r="O19" s="30"/>
      <c r="P19" s="30"/>
      <c r="Q19" s="30"/>
      <c r="R19" s="30"/>
      <c r="S19" s="5"/>
    </row>
    <row r="20" spans="1:19" ht="25.5" outlineLevel="1">
      <c r="A20" s="46" t="s">
        <v>20</v>
      </c>
      <c r="B20" s="29">
        <f aca="true" t="shared" si="5" ref="B20:S20">SUM(B18:B19)</f>
        <v>0</v>
      </c>
      <c r="C20" s="29">
        <f t="shared" si="5"/>
        <v>0</v>
      </c>
      <c r="D20" s="29">
        <f t="shared" si="5"/>
        <v>0</v>
      </c>
      <c r="E20" s="29">
        <f t="shared" si="5"/>
        <v>0</v>
      </c>
      <c r="F20" s="29">
        <f t="shared" si="5"/>
        <v>0</v>
      </c>
      <c r="G20" s="29">
        <f t="shared" si="5"/>
        <v>0</v>
      </c>
      <c r="H20" s="29">
        <f t="shared" si="5"/>
        <v>0</v>
      </c>
      <c r="I20" s="29">
        <f t="shared" si="5"/>
        <v>0</v>
      </c>
      <c r="J20" s="29">
        <f t="shared" si="5"/>
        <v>0</v>
      </c>
      <c r="K20" s="29">
        <f t="shared" si="5"/>
        <v>0</v>
      </c>
      <c r="L20" s="29">
        <f t="shared" si="5"/>
        <v>0</v>
      </c>
      <c r="M20" s="29">
        <f t="shared" si="5"/>
        <v>0</v>
      </c>
      <c r="N20" s="29">
        <f t="shared" si="5"/>
        <v>0</v>
      </c>
      <c r="O20" s="29">
        <f t="shared" si="5"/>
        <v>0</v>
      </c>
      <c r="P20" s="29">
        <f t="shared" si="5"/>
        <v>0</v>
      </c>
      <c r="Q20" s="29">
        <f t="shared" si="5"/>
        <v>0</v>
      </c>
      <c r="R20" s="29">
        <f t="shared" si="5"/>
        <v>0</v>
      </c>
      <c r="S20" s="28">
        <f t="shared" si="5"/>
        <v>0</v>
      </c>
    </row>
    <row r="21" spans="1:19" ht="12.75" outlineLevel="1">
      <c r="A21" s="49" t="s">
        <v>14</v>
      </c>
      <c r="B21" s="27"/>
      <c r="C21" s="27"/>
      <c r="D21" s="27"/>
      <c r="E21" s="27"/>
      <c r="F21" s="27"/>
      <c r="G21" s="27"/>
      <c r="H21" s="27"/>
      <c r="I21" s="27"/>
      <c r="J21" s="27"/>
      <c r="K21" s="27"/>
      <c r="L21" s="27"/>
      <c r="M21" s="27"/>
      <c r="N21" s="27"/>
      <c r="O21" s="27"/>
      <c r="P21" s="27"/>
      <c r="Q21" s="27"/>
      <c r="R21" s="27"/>
      <c r="S21" s="26"/>
    </row>
    <row r="22" spans="1:19" ht="12.75" outlineLevel="1">
      <c r="A22" s="5"/>
      <c r="B22" s="42"/>
      <c r="C22" s="42"/>
      <c r="D22" s="42"/>
      <c r="E22" s="42"/>
      <c r="F22" s="42"/>
      <c r="G22" s="42"/>
      <c r="H22" s="42"/>
      <c r="I22" s="42"/>
      <c r="J22" s="42"/>
      <c r="K22" s="42"/>
      <c r="L22" s="42"/>
      <c r="M22" s="42"/>
      <c r="N22" s="42"/>
      <c r="O22" s="42"/>
      <c r="P22" s="42"/>
      <c r="Q22" s="42"/>
      <c r="R22" s="42"/>
      <c r="S22" s="28"/>
    </row>
    <row r="23" spans="1:19" ht="12.75" outlineLevel="1">
      <c r="A23" s="38" t="s">
        <v>19</v>
      </c>
      <c r="B23" s="37"/>
      <c r="C23" s="37"/>
      <c r="D23" s="37"/>
      <c r="E23" s="37"/>
      <c r="F23" s="37"/>
      <c r="G23" s="37"/>
      <c r="H23" s="37"/>
      <c r="I23" s="37"/>
      <c r="J23" s="37"/>
      <c r="K23" s="37"/>
      <c r="L23" s="37"/>
      <c r="M23" s="37"/>
      <c r="N23" s="37"/>
      <c r="O23" s="37"/>
      <c r="P23" s="37"/>
      <c r="Q23" s="37"/>
      <c r="R23" s="37"/>
      <c r="S23" s="36"/>
    </row>
    <row r="24" spans="1:19" ht="12.75" outlineLevel="1">
      <c r="A24" s="47" t="s">
        <v>12</v>
      </c>
      <c r="B24" s="30"/>
      <c r="C24" s="30"/>
      <c r="D24" s="30"/>
      <c r="E24" s="30"/>
      <c r="F24" s="30"/>
      <c r="G24" s="30"/>
      <c r="H24" s="30"/>
      <c r="I24" s="30"/>
      <c r="J24" s="30"/>
      <c r="K24" s="30"/>
      <c r="L24" s="30"/>
      <c r="M24" s="30"/>
      <c r="N24" s="30"/>
      <c r="O24" s="30"/>
      <c r="P24" s="30"/>
      <c r="Q24" s="30"/>
      <c r="R24" s="30"/>
      <c r="S24" s="5"/>
    </row>
    <row r="25" spans="1:19" ht="25.5" outlineLevel="1">
      <c r="A25" s="47" t="s">
        <v>16</v>
      </c>
      <c r="B25" s="30"/>
      <c r="C25" s="30"/>
      <c r="D25" s="30"/>
      <c r="E25" s="30"/>
      <c r="F25" s="30"/>
      <c r="G25" s="30"/>
      <c r="H25" s="30"/>
      <c r="I25" s="30"/>
      <c r="J25" s="30"/>
      <c r="K25" s="30"/>
      <c r="L25" s="30"/>
      <c r="M25" s="30"/>
      <c r="N25" s="30"/>
      <c r="O25" s="30"/>
      <c r="P25" s="30"/>
      <c r="Q25" s="30"/>
      <c r="R25" s="30"/>
      <c r="S25" s="5"/>
    </row>
    <row r="26" spans="1:19" ht="12.75" outlineLevel="1">
      <c r="A26" s="46" t="s">
        <v>18</v>
      </c>
      <c r="B26" s="29">
        <f aca="true" t="shared" si="6" ref="B26:S26">SUM(B24:B25)</f>
        <v>0</v>
      </c>
      <c r="C26" s="29">
        <f t="shared" si="6"/>
        <v>0</v>
      </c>
      <c r="D26" s="29">
        <f t="shared" si="6"/>
        <v>0</v>
      </c>
      <c r="E26" s="29">
        <f t="shared" si="6"/>
        <v>0</v>
      </c>
      <c r="F26" s="29">
        <f t="shared" si="6"/>
        <v>0</v>
      </c>
      <c r="G26" s="29">
        <f t="shared" si="6"/>
        <v>0</v>
      </c>
      <c r="H26" s="29">
        <f t="shared" si="6"/>
        <v>0</v>
      </c>
      <c r="I26" s="29">
        <f t="shared" si="6"/>
        <v>0</v>
      </c>
      <c r="J26" s="29">
        <f t="shared" si="6"/>
        <v>0</v>
      </c>
      <c r="K26" s="29">
        <f t="shared" si="6"/>
        <v>0</v>
      </c>
      <c r="L26" s="29">
        <f t="shared" si="6"/>
        <v>0</v>
      </c>
      <c r="M26" s="29">
        <f t="shared" si="6"/>
        <v>0</v>
      </c>
      <c r="N26" s="29">
        <f t="shared" si="6"/>
        <v>0</v>
      </c>
      <c r="O26" s="29">
        <f t="shared" si="6"/>
        <v>0</v>
      </c>
      <c r="P26" s="29">
        <f t="shared" si="6"/>
        <v>0</v>
      </c>
      <c r="Q26" s="29">
        <f t="shared" si="6"/>
        <v>0</v>
      </c>
      <c r="R26" s="29">
        <f t="shared" si="6"/>
        <v>0</v>
      </c>
      <c r="S26" s="28">
        <f t="shared" si="6"/>
        <v>0</v>
      </c>
    </row>
    <row r="27" spans="1:19" ht="12.75" outlineLevel="1">
      <c r="A27" s="51" t="s">
        <v>14</v>
      </c>
      <c r="B27" s="35"/>
      <c r="C27" s="35"/>
      <c r="D27" s="35"/>
      <c r="E27" s="35"/>
      <c r="F27" s="35"/>
      <c r="G27" s="35"/>
      <c r="H27" s="35"/>
      <c r="I27" s="35"/>
      <c r="J27" s="35"/>
      <c r="K27" s="35"/>
      <c r="L27" s="35"/>
      <c r="M27" s="35"/>
      <c r="N27" s="35"/>
      <c r="O27" s="35"/>
      <c r="P27" s="35"/>
      <c r="Q27" s="35"/>
      <c r="R27" s="35"/>
      <c r="S27" s="34"/>
    </row>
    <row r="28" spans="1:19" ht="12.75" outlineLevel="1">
      <c r="A28" s="5"/>
      <c r="B28" s="42"/>
      <c r="C28" s="42"/>
      <c r="D28" s="42"/>
      <c r="E28" s="42"/>
      <c r="F28" s="42"/>
      <c r="G28" s="42"/>
      <c r="H28" s="42"/>
      <c r="I28" s="42"/>
      <c r="J28" s="42"/>
      <c r="K28" s="42"/>
      <c r="L28" s="42"/>
      <c r="M28" s="42"/>
      <c r="N28" s="42"/>
      <c r="O28" s="42"/>
      <c r="P28" s="42"/>
      <c r="Q28" s="42"/>
      <c r="R28" s="42"/>
      <c r="S28" s="28"/>
    </row>
    <row r="29" spans="1:19" ht="12.75" outlineLevel="1">
      <c r="A29" s="33" t="s">
        <v>17</v>
      </c>
      <c r="B29" s="32"/>
      <c r="C29" s="32"/>
      <c r="D29" s="32"/>
      <c r="E29" s="32"/>
      <c r="F29" s="32"/>
      <c r="G29" s="32"/>
      <c r="H29" s="32"/>
      <c r="I29" s="32"/>
      <c r="J29" s="32"/>
      <c r="K29" s="32"/>
      <c r="L29" s="32"/>
      <c r="M29" s="32"/>
      <c r="N29" s="32"/>
      <c r="O29" s="32"/>
      <c r="P29" s="32"/>
      <c r="Q29" s="32"/>
      <c r="R29" s="32"/>
      <c r="S29" s="31"/>
    </row>
    <row r="30" spans="1:19" ht="12.75" outlineLevel="1">
      <c r="A30" s="47" t="s">
        <v>12</v>
      </c>
      <c r="B30" s="30"/>
      <c r="C30" s="30"/>
      <c r="D30" s="30"/>
      <c r="E30" s="30"/>
      <c r="F30" s="30"/>
      <c r="G30" s="30"/>
      <c r="H30" s="30"/>
      <c r="I30" s="30"/>
      <c r="J30" s="30"/>
      <c r="K30" s="30"/>
      <c r="L30" s="30"/>
      <c r="M30" s="30"/>
      <c r="N30" s="30"/>
      <c r="O30" s="30"/>
      <c r="P30" s="30"/>
      <c r="Q30" s="30"/>
      <c r="R30" s="30"/>
      <c r="S30" s="5"/>
    </row>
    <row r="31" spans="1:19" ht="25.5" outlineLevel="1">
      <c r="A31" s="47" t="s">
        <v>16</v>
      </c>
      <c r="B31" s="30"/>
      <c r="C31" s="30"/>
      <c r="D31" s="30"/>
      <c r="E31" s="30"/>
      <c r="F31" s="30"/>
      <c r="G31" s="30"/>
      <c r="H31" s="30"/>
      <c r="I31" s="30"/>
      <c r="J31" s="30"/>
      <c r="K31" s="30"/>
      <c r="L31" s="30"/>
      <c r="M31" s="30"/>
      <c r="N31" s="30"/>
      <c r="O31" s="30"/>
      <c r="P31" s="30"/>
      <c r="Q31" s="30"/>
      <c r="R31" s="30"/>
      <c r="S31" s="5"/>
    </row>
    <row r="32" spans="1:19" ht="12.75" outlineLevel="1">
      <c r="A32" s="46" t="s">
        <v>15</v>
      </c>
      <c r="B32" s="29">
        <f aca="true" t="shared" si="7" ref="B32:S32">SUM(B30:B31)</f>
        <v>0</v>
      </c>
      <c r="C32" s="29">
        <f t="shared" si="7"/>
        <v>0</v>
      </c>
      <c r="D32" s="29">
        <f t="shared" si="7"/>
        <v>0</v>
      </c>
      <c r="E32" s="29">
        <f t="shared" si="7"/>
        <v>0</v>
      </c>
      <c r="F32" s="29">
        <f t="shared" si="7"/>
        <v>0</v>
      </c>
      <c r="G32" s="29">
        <f t="shared" si="7"/>
        <v>0</v>
      </c>
      <c r="H32" s="29">
        <f t="shared" si="7"/>
        <v>0</v>
      </c>
      <c r="I32" s="29">
        <f t="shared" si="7"/>
        <v>0</v>
      </c>
      <c r="J32" s="29">
        <f t="shared" si="7"/>
        <v>0</v>
      </c>
      <c r="K32" s="29">
        <f t="shared" si="7"/>
        <v>0</v>
      </c>
      <c r="L32" s="29">
        <f t="shared" si="7"/>
        <v>0</v>
      </c>
      <c r="M32" s="29">
        <f t="shared" si="7"/>
        <v>0</v>
      </c>
      <c r="N32" s="29">
        <f t="shared" si="7"/>
        <v>0</v>
      </c>
      <c r="O32" s="29">
        <f t="shared" si="7"/>
        <v>0</v>
      </c>
      <c r="P32" s="29">
        <f t="shared" si="7"/>
        <v>0</v>
      </c>
      <c r="Q32" s="29">
        <f t="shared" si="7"/>
        <v>0</v>
      </c>
      <c r="R32" s="29">
        <f t="shared" si="7"/>
        <v>0</v>
      </c>
      <c r="S32" s="28">
        <f t="shared" si="7"/>
        <v>0</v>
      </c>
    </row>
    <row r="33" spans="1:19" ht="12.75" outlineLevel="1">
      <c r="A33" s="49" t="s">
        <v>14</v>
      </c>
      <c r="B33" s="27"/>
      <c r="C33" s="27"/>
      <c r="D33" s="27"/>
      <c r="E33" s="27"/>
      <c r="F33" s="27"/>
      <c r="G33" s="27"/>
      <c r="H33" s="27"/>
      <c r="I33" s="27"/>
      <c r="J33" s="27"/>
      <c r="K33" s="27"/>
      <c r="L33" s="27"/>
      <c r="M33" s="27"/>
      <c r="N33" s="27"/>
      <c r="O33" s="27"/>
      <c r="P33" s="27"/>
      <c r="Q33" s="27"/>
      <c r="R33" s="27"/>
      <c r="S33" s="26"/>
    </row>
    <row r="34" spans="1:19" ht="12.75">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v>1725</v>
      </c>
      <c r="C36" s="30">
        <v>2911</v>
      </c>
      <c r="D36" s="30">
        <v>2780</v>
      </c>
      <c r="E36" s="30">
        <f>1975+400+82+47</f>
        <v>2504</v>
      </c>
      <c r="F36" s="30"/>
      <c r="G36" s="30">
        <v>2489</v>
      </c>
      <c r="H36" s="30">
        <v>2657</v>
      </c>
      <c r="I36" s="30">
        <v>2168</v>
      </c>
      <c r="J36" s="30">
        <v>2184</v>
      </c>
      <c r="K36" s="30">
        <v>2156</v>
      </c>
      <c r="L36" s="30">
        <v>2324</v>
      </c>
      <c r="M36" s="30">
        <v>2248</v>
      </c>
      <c r="N36" s="30">
        <v>2351</v>
      </c>
      <c r="O36" s="30">
        <v>2774</v>
      </c>
      <c r="P36" s="64">
        <v>3821</v>
      </c>
      <c r="Q36" s="64">
        <v>4036</v>
      </c>
      <c r="R36" s="64">
        <v>4490</v>
      </c>
      <c r="S36" s="85">
        <v>4688</v>
      </c>
    </row>
    <row r="37" spans="1:19" ht="25.5">
      <c r="A37" s="47" t="s">
        <v>16</v>
      </c>
      <c r="B37" s="30">
        <f>5944-920-1725+147+40-231</f>
        <v>3255</v>
      </c>
      <c r="C37" s="30">
        <f>161+100+697+6</f>
        <v>964</v>
      </c>
      <c r="D37" s="30">
        <f>468+41+24+30</f>
        <v>563</v>
      </c>
      <c r="E37" s="30">
        <f>16+89+106+14+14+2+61+34+115+5+84</f>
        <v>540</v>
      </c>
      <c r="F37" s="30"/>
      <c r="G37" s="30">
        <f>268+229+154+14</f>
        <v>665</v>
      </c>
      <c r="H37" s="30">
        <f>259+190+146-355</f>
        <v>240</v>
      </c>
      <c r="I37" s="30">
        <v>1037</v>
      </c>
      <c r="J37" s="30">
        <v>716</v>
      </c>
      <c r="K37" s="30">
        <v>736</v>
      </c>
      <c r="L37" s="30">
        <v>679</v>
      </c>
      <c r="M37" s="30">
        <v>606</v>
      </c>
      <c r="N37" s="30">
        <f>611+70</f>
        <v>681</v>
      </c>
      <c r="O37" s="30">
        <f>633+144</f>
        <v>777</v>
      </c>
      <c r="P37" s="30">
        <f>685+828</f>
        <v>1513</v>
      </c>
      <c r="Q37" s="30">
        <f>702+510</f>
        <v>1212</v>
      </c>
      <c r="R37" s="30">
        <f>734+945</f>
        <v>1679</v>
      </c>
      <c r="S37" s="5">
        <f>1064+647</f>
        <v>1711</v>
      </c>
    </row>
    <row r="38" spans="1:19" ht="12.75">
      <c r="A38" s="46" t="s">
        <v>18</v>
      </c>
      <c r="B38" s="29">
        <f>SUM(B37)</f>
        <v>3255</v>
      </c>
      <c r="C38" s="29">
        <f>SUM(C36:C37)</f>
        <v>3875</v>
      </c>
      <c r="D38" s="29">
        <f>SUM(D36:D37)</f>
        <v>3343</v>
      </c>
      <c r="E38" s="29">
        <f>SUM(E36:E37)</f>
        <v>3044</v>
      </c>
      <c r="F38" s="29"/>
      <c r="G38" s="29">
        <f>SUM(G36:G37)</f>
        <v>3154</v>
      </c>
      <c r="H38" s="29">
        <f>SUM(H36:H37)</f>
        <v>2897</v>
      </c>
      <c r="I38" s="29">
        <f>SUM(I36:I37)</f>
        <v>3205</v>
      </c>
      <c r="J38" s="29">
        <f aca="true" t="shared" si="8" ref="J38:S38">SUM(J36:J37)</f>
        <v>2900</v>
      </c>
      <c r="K38" s="29">
        <f t="shared" si="8"/>
        <v>2892</v>
      </c>
      <c r="L38" s="29">
        <f t="shared" si="8"/>
        <v>3003</v>
      </c>
      <c r="M38" s="29">
        <f t="shared" si="8"/>
        <v>2854</v>
      </c>
      <c r="N38" s="29">
        <f t="shared" si="8"/>
        <v>3032</v>
      </c>
      <c r="O38" s="29">
        <f>SUM(O36:O37)</f>
        <v>3551</v>
      </c>
      <c r="P38" s="29">
        <f>SUM(P36:P37)</f>
        <v>5334</v>
      </c>
      <c r="Q38" s="29">
        <f>SUM(Q36:Q37)</f>
        <v>5248</v>
      </c>
      <c r="R38" s="29">
        <f t="shared" si="8"/>
        <v>6169</v>
      </c>
      <c r="S38" s="28">
        <f t="shared" si="8"/>
        <v>6399</v>
      </c>
    </row>
    <row r="39" spans="1:19" ht="12.75">
      <c r="A39" s="51" t="s">
        <v>14</v>
      </c>
      <c r="B39" s="35">
        <f>B38-B66</f>
        <v>-4517</v>
      </c>
      <c r="C39" s="35">
        <f>C38-C66</f>
        <v>1314</v>
      </c>
      <c r="D39" s="35">
        <f>D38-D66</f>
        <v>-103</v>
      </c>
      <c r="E39" s="35">
        <f>E38-E66</f>
        <v>-827</v>
      </c>
      <c r="F39" s="35"/>
      <c r="G39" s="35">
        <f aca="true" t="shared" si="9" ref="G39:S39">G38-G66</f>
        <v>-760</v>
      </c>
      <c r="H39" s="35">
        <f t="shared" si="9"/>
        <v>-1156</v>
      </c>
      <c r="I39" s="35">
        <f t="shared" si="9"/>
        <v>-1077</v>
      </c>
      <c r="J39" s="35">
        <f t="shared" si="9"/>
        <v>-1374</v>
      </c>
      <c r="K39" s="35">
        <f t="shared" si="9"/>
        <v>-1079</v>
      </c>
      <c r="L39" s="35">
        <f t="shared" si="9"/>
        <v>-748</v>
      </c>
      <c r="M39" s="35">
        <f t="shared" si="9"/>
        <v>-798</v>
      </c>
      <c r="N39" s="35">
        <f t="shared" si="9"/>
        <v>-1084</v>
      </c>
      <c r="O39" s="35">
        <f t="shared" si="9"/>
        <v>-875</v>
      </c>
      <c r="P39" s="35">
        <f t="shared" si="9"/>
        <v>339</v>
      </c>
      <c r="Q39" s="35">
        <f t="shared" si="9"/>
        <v>580</v>
      </c>
      <c r="R39" s="35">
        <f t="shared" si="9"/>
        <v>423</v>
      </c>
      <c r="S39" s="34">
        <f t="shared" si="9"/>
        <v>36</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c r="E42" s="30"/>
      <c r="F42" s="30"/>
      <c r="G42" s="30"/>
      <c r="H42" s="30"/>
      <c r="I42" s="30"/>
      <c r="J42" s="30"/>
      <c r="K42" s="30"/>
      <c r="L42" s="30"/>
      <c r="M42" s="30"/>
      <c r="N42" s="30"/>
      <c r="O42" s="30"/>
      <c r="P42" s="30"/>
      <c r="Q42" s="30"/>
      <c r="R42" s="30"/>
      <c r="S42" s="5"/>
    </row>
    <row r="43" spans="1:19" ht="25.5">
      <c r="A43" s="47" t="s">
        <v>16</v>
      </c>
      <c r="B43" s="30">
        <f>1361-863</f>
        <v>498</v>
      </c>
      <c r="C43" s="30">
        <f>212+391+251</f>
        <v>854</v>
      </c>
      <c r="D43" s="30">
        <f>615+118+120+240</f>
        <v>1093</v>
      </c>
      <c r="E43" s="30">
        <f>125+36+38+70+20+194+281+108+44+189+83+1+212</f>
        <v>1401</v>
      </c>
      <c r="F43" s="30"/>
      <c r="G43" s="30">
        <f>71+780+43</f>
        <v>894</v>
      </c>
      <c r="H43" s="30">
        <f>1033+61</f>
        <v>1094</v>
      </c>
      <c r="I43" s="30">
        <f>820+282</f>
        <v>1102</v>
      </c>
      <c r="J43" s="30">
        <v>914</v>
      </c>
      <c r="K43" s="30">
        <v>1126</v>
      </c>
      <c r="L43" s="30">
        <v>2422</v>
      </c>
      <c r="M43" s="30">
        <v>1489</v>
      </c>
      <c r="N43" s="30">
        <v>1337</v>
      </c>
      <c r="O43" s="30">
        <v>1326</v>
      </c>
      <c r="P43" s="30">
        <v>1644</v>
      </c>
      <c r="Q43" s="30">
        <v>2497</v>
      </c>
      <c r="R43" s="30">
        <v>3612</v>
      </c>
      <c r="S43" s="5">
        <v>1684</v>
      </c>
    </row>
    <row r="44" spans="1:19" ht="12.75">
      <c r="A44" s="46" t="s">
        <v>18</v>
      </c>
      <c r="B44" s="29">
        <f aca="true" t="shared" si="10" ref="B44:G44">SUM(B42:B43)</f>
        <v>498</v>
      </c>
      <c r="C44" s="29">
        <f t="shared" si="10"/>
        <v>854</v>
      </c>
      <c r="D44" s="29">
        <f t="shared" si="10"/>
        <v>1093</v>
      </c>
      <c r="E44" s="29">
        <f t="shared" si="10"/>
        <v>1401</v>
      </c>
      <c r="F44" s="29">
        <f t="shared" si="10"/>
        <v>0</v>
      </c>
      <c r="G44" s="29">
        <f t="shared" si="10"/>
        <v>894</v>
      </c>
      <c r="H44" s="29">
        <f>SUM(H42:H43)</f>
        <v>1094</v>
      </c>
      <c r="I44" s="29">
        <f>SUM(I42:I43)</f>
        <v>1102</v>
      </c>
      <c r="J44" s="29">
        <f aca="true" t="shared" si="11" ref="J44:S44">SUM(J42:J43)</f>
        <v>914</v>
      </c>
      <c r="K44" s="29">
        <f t="shared" si="11"/>
        <v>1126</v>
      </c>
      <c r="L44" s="29">
        <f t="shared" si="11"/>
        <v>2422</v>
      </c>
      <c r="M44" s="29">
        <f t="shared" si="11"/>
        <v>1489</v>
      </c>
      <c r="N44" s="29">
        <f t="shared" si="11"/>
        <v>1337</v>
      </c>
      <c r="O44" s="29">
        <f t="shared" si="11"/>
        <v>1326</v>
      </c>
      <c r="P44" s="29">
        <f t="shared" si="11"/>
        <v>1644</v>
      </c>
      <c r="Q44" s="29">
        <f t="shared" si="11"/>
        <v>2497</v>
      </c>
      <c r="R44" s="29">
        <f t="shared" si="11"/>
        <v>3612</v>
      </c>
      <c r="S44" s="28">
        <f t="shared" si="11"/>
        <v>1684</v>
      </c>
    </row>
    <row r="45" spans="1:19" ht="12.75">
      <c r="A45" s="51" t="s">
        <v>14</v>
      </c>
      <c r="B45" s="35">
        <f aca="true" t="shared" si="12" ref="B45:S45">B44-B67</f>
        <v>-863</v>
      </c>
      <c r="C45" s="35">
        <f t="shared" si="12"/>
        <v>-2370</v>
      </c>
      <c r="D45" s="35">
        <f t="shared" si="12"/>
        <v>-2319</v>
      </c>
      <c r="E45" s="35">
        <f t="shared" si="12"/>
        <v>-2131</v>
      </c>
      <c r="F45" s="35">
        <f t="shared" si="12"/>
        <v>0</v>
      </c>
      <c r="G45" s="35">
        <f t="shared" si="12"/>
        <v>-3112</v>
      </c>
      <c r="H45" s="35">
        <f t="shared" si="12"/>
        <v>-2836</v>
      </c>
      <c r="I45" s="35">
        <f t="shared" si="12"/>
        <v>-3177</v>
      </c>
      <c r="J45" s="35">
        <f t="shared" si="12"/>
        <v>-3206</v>
      </c>
      <c r="K45" s="35">
        <f t="shared" si="12"/>
        <v>-3264</v>
      </c>
      <c r="L45" s="35">
        <f t="shared" si="12"/>
        <v>-1756</v>
      </c>
      <c r="M45" s="35">
        <f t="shared" si="12"/>
        <v>-4063</v>
      </c>
      <c r="N45" s="35">
        <f t="shared" si="12"/>
        <v>-3860</v>
      </c>
      <c r="O45" s="35">
        <f t="shared" si="12"/>
        <v>-4002</v>
      </c>
      <c r="P45" s="35">
        <f t="shared" si="12"/>
        <v>-3973</v>
      </c>
      <c r="Q45" s="35">
        <f t="shared" si="12"/>
        <v>-3658</v>
      </c>
      <c r="R45" s="35">
        <f t="shared" si="12"/>
        <v>-3115</v>
      </c>
      <c r="S45" s="34">
        <f t="shared" si="12"/>
        <v>-5607</v>
      </c>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f>283+1195</f>
        <v>1478</v>
      </c>
      <c r="C48" s="2">
        <f>189+876</f>
        <v>1065</v>
      </c>
      <c r="D48" s="2">
        <f>175+937</f>
        <v>1112</v>
      </c>
      <c r="E48" s="2">
        <f>171+942</f>
        <v>1113</v>
      </c>
      <c r="F48" s="2"/>
      <c r="G48" s="2">
        <v>1153</v>
      </c>
      <c r="H48" s="2">
        <f>732+100+195</f>
        <v>1027</v>
      </c>
      <c r="I48" s="2">
        <f>806+42+193</f>
        <v>1041</v>
      </c>
      <c r="J48" s="2">
        <f>912+42+194</f>
        <v>1148</v>
      </c>
      <c r="K48" s="2">
        <f>911+73+285</f>
        <v>1269</v>
      </c>
      <c r="L48" s="2">
        <f>780+170+289</f>
        <v>1239</v>
      </c>
      <c r="M48" s="2">
        <f>947+192+289</f>
        <v>1428</v>
      </c>
      <c r="N48" s="2">
        <f>659+192+289</f>
        <v>1140</v>
      </c>
      <c r="O48" s="2">
        <f>749+256+289</f>
        <v>1294</v>
      </c>
      <c r="P48" s="86">
        <v>1457</v>
      </c>
      <c r="Q48" s="86">
        <v>1521</v>
      </c>
      <c r="R48" s="86">
        <v>1598</v>
      </c>
      <c r="S48" s="87">
        <v>1653</v>
      </c>
    </row>
    <row r="49" spans="1:19" ht="25.5">
      <c r="A49" s="47" t="s">
        <v>16</v>
      </c>
      <c r="B49" s="2">
        <f>149-346+18</f>
        <v>-179</v>
      </c>
      <c r="C49" s="2">
        <f>-129-49</f>
        <v>-178</v>
      </c>
      <c r="D49" s="2">
        <f>-13+173</f>
        <v>160</v>
      </c>
      <c r="E49" s="2">
        <f>1+106+85+344</f>
        <v>536</v>
      </c>
      <c r="F49" s="2"/>
      <c r="G49" s="2">
        <f>951+202+415+37</f>
        <v>1605</v>
      </c>
      <c r="H49" s="2">
        <v>615</v>
      </c>
      <c r="I49" s="2">
        <v>414</v>
      </c>
      <c r="J49" s="2">
        <v>444</v>
      </c>
      <c r="K49" s="2">
        <v>612</v>
      </c>
      <c r="L49" s="2">
        <v>1288</v>
      </c>
      <c r="M49" s="2">
        <v>1903</v>
      </c>
      <c r="N49" s="2">
        <v>3650</v>
      </c>
      <c r="O49" s="2">
        <v>4513</v>
      </c>
      <c r="P49" s="2">
        <v>4872</v>
      </c>
      <c r="Q49" s="2">
        <v>6551</v>
      </c>
      <c r="R49" s="2">
        <v>5414</v>
      </c>
      <c r="S49" s="5">
        <v>5717</v>
      </c>
    </row>
    <row r="50" spans="1:19" ht="12.75">
      <c r="A50" s="46" t="s">
        <v>18</v>
      </c>
      <c r="B50" s="29">
        <f aca="true" t="shared" si="13" ref="B50:G50">SUM(B48:B49)</f>
        <v>1299</v>
      </c>
      <c r="C50" s="29">
        <f t="shared" si="13"/>
        <v>887</v>
      </c>
      <c r="D50" s="29">
        <f t="shared" si="13"/>
        <v>1272</v>
      </c>
      <c r="E50" s="29">
        <f t="shared" si="13"/>
        <v>1649</v>
      </c>
      <c r="F50" s="29">
        <f t="shared" si="13"/>
        <v>0</v>
      </c>
      <c r="G50" s="29">
        <f t="shared" si="13"/>
        <v>2758</v>
      </c>
      <c r="H50" s="29">
        <f>SUM(H48:H49)</f>
        <v>1642</v>
      </c>
      <c r="I50" s="29">
        <f>SUM(I48:I49)</f>
        <v>1455</v>
      </c>
      <c r="J50" s="29">
        <f aca="true" t="shared" si="14" ref="J50:S50">SUM(J48:J49)</f>
        <v>1592</v>
      </c>
      <c r="K50" s="29">
        <f t="shared" si="14"/>
        <v>1881</v>
      </c>
      <c r="L50" s="29">
        <f t="shared" si="14"/>
        <v>2527</v>
      </c>
      <c r="M50" s="29">
        <f t="shared" si="14"/>
        <v>3331</v>
      </c>
      <c r="N50" s="29">
        <f t="shared" si="14"/>
        <v>4790</v>
      </c>
      <c r="O50" s="29">
        <f t="shared" si="14"/>
        <v>5807</v>
      </c>
      <c r="P50" s="29">
        <f t="shared" si="14"/>
        <v>6329</v>
      </c>
      <c r="Q50" s="29">
        <f t="shared" si="14"/>
        <v>8072</v>
      </c>
      <c r="R50" s="29">
        <f t="shared" si="14"/>
        <v>7012</v>
      </c>
      <c r="S50" s="28">
        <f t="shared" si="14"/>
        <v>7370</v>
      </c>
    </row>
    <row r="51" spans="1:19" ht="12.75">
      <c r="A51" s="51" t="s">
        <v>14</v>
      </c>
      <c r="B51" s="35">
        <f>B50-B68</f>
        <v>-1644</v>
      </c>
      <c r="C51" s="35">
        <f>C50-C68</f>
        <v>-776</v>
      </c>
      <c r="D51" s="35">
        <f>D50-D68</f>
        <v>-872</v>
      </c>
      <c r="E51" s="35">
        <f>E50-E68</f>
        <v>-1093</v>
      </c>
      <c r="F51" s="35"/>
      <c r="G51" s="35">
        <f>G50-G68</f>
        <v>401</v>
      </c>
      <c r="H51" s="35">
        <f>H50-H68+1512</f>
        <v>-1580</v>
      </c>
      <c r="I51" s="35">
        <f>I50-I68+1155</f>
        <v>-1001</v>
      </c>
      <c r="J51" s="35">
        <f>J50-J68+1382</f>
        <v>-935</v>
      </c>
      <c r="K51" s="35">
        <f>K50-K68+1663</f>
        <v>-619</v>
      </c>
      <c r="L51" s="35">
        <f>L50-L68+1463</f>
        <v>-889</v>
      </c>
      <c r="M51" s="35">
        <f>M50-M68+1565</f>
        <v>-254</v>
      </c>
      <c r="N51" s="35">
        <f>N50-N68+1617</f>
        <v>-1295</v>
      </c>
      <c r="O51" s="35">
        <f>O50-O68+1343</f>
        <v>-1664</v>
      </c>
      <c r="P51" s="35">
        <f>P50-P68+1488</f>
        <v>-792</v>
      </c>
      <c r="Q51" s="35">
        <f>Q50-Q68+1589</f>
        <v>-1338</v>
      </c>
      <c r="R51" s="35">
        <f>R50-R68+2729</f>
        <v>-1334</v>
      </c>
      <c r="S51" s="34">
        <f>S50-S68+1651</f>
        <v>-1462</v>
      </c>
    </row>
    <row r="52" ht="12.75"/>
    <row r="53" spans="1:22" ht="12.75">
      <c r="A53" s="25" t="s">
        <v>13</v>
      </c>
      <c r="B53" s="24"/>
      <c r="C53" s="24"/>
      <c r="D53" s="24"/>
      <c r="E53" s="24"/>
      <c r="F53" s="24"/>
      <c r="G53" s="24"/>
      <c r="H53" s="24"/>
      <c r="I53" s="24"/>
      <c r="J53" s="24"/>
      <c r="K53" s="24"/>
      <c r="L53" s="24"/>
      <c r="M53" s="24"/>
      <c r="N53" s="24"/>
      <c r="O53" s="24"/>
      <c r="P53" s="24"/>
      <c r="Q53" s="24"/>
      <c r="R53" s="24"/>
      <c r="S53" s="23"/>
      <c r="V53" s="1" t="s">
        <v>51</v>
      </c>
    </row>
    <row r="54" spans="1:19" ht="12.75">
      <c r="A54" s="52" t="s">
        <v>12</v>
      </c>
      <c r="B54" s="65">
        <f aca="true" t="shared" si="15" ref="B54:S54">SUM(B25,B36,B42,B48,B31)</f>
        <v>3203</v>
      </c>
      <c r="C54" s="66">
        <f t="shared" si="15"/>
        <v>3976</v>
      </c>
      <c r="D54" s="66">
        <f t="shared" si="15"/>
        <v>3892</v>
      </c>
      <c r="E54" s="66">
        <f t="shared" si="15"/>
        <v>3617</v>
      </c>
      <c r="F54" s="66">
        <f t="shared" si="15"/>
        <v>0</v>
      </c>
      <c r="G54" s="66">
        <f t="shared" si="15"/>
        <v>3642</v>
      </c>
      <c r="H54" s="66">
        <f t="shared" si="15"/>
        <v>3684</v>
      </c>
      <c r="I54" s="66">
        <f t="shared" si="15"/>
        <v>3209</v>
      </c>
      <c r="J54" s="66">
        <f t="shared" si="15"/>
        <v>3332</v>
      </c>
      <c r="K54" s="66">
        <f t="shared" si="15"/>
        <v>3425</v>
      </c>
      <c r="L54" s="66">
        <f t="shared" si="15"/>
        <v>3563</v>
      </c>
      <c r="M54" s="66">
        <f t="shared" si="15"/>
        <v>3676</v>
      </c>
      <c r="N54" s="66">
        <f t="shared" si="15"/>
        <v>3491</v>
      </c>
      <c r="O54" s="66">
        <f t="shared" si="15"/>
        <v>4068</v>
      </c>
      <c r="P54" s="66">
        <f t="shared" si="15"/>
        <v>5278</v>
      </c>
      <c r="Q54" s="66">
        <f t="shared" si="15"/>
        <v>5557</v>
      </c>
      <c r="R54" s="66">
        <f t="shared" si="15"/>
        <v>6088</v>
      </c>
      <c r="S54" s="67">
        <f t="shared" si="15"/>
        <v>6341</v>
      </c>
    </row>
    <row r="55" spans="1:19" ht="12.75">
      <c r="A55" s="53" t="s">
        <v>11</v>
      </c>
      <c r="B55" s="68">
        <f aca="true" t="shared" si="16" ref="B55:S55">SUM(B26,B37,B43,B49,B32)</f>
        <v>3574</v>
      </c>
      <c r="C55" s="22">
        <f t="shared" si="16"/>
        <v>1640</v>
      </c>
      <c r="D55" s="22">
        <f t="shared" si="16"/>
        <v>1816</v>
      </c>
      <c r="E55" s="22">
        <f t="shared" si="16"/>
        <v>2477</v>
      </c>
      <c r="F55" s="22">
        <f t="shared" si="16"/>
        <v>0</v>
      </c>
      <c r="G55" s="22">
        <f t="shared" si="16"/>
        <v>3164</v>
      </c>
      <c r="H55" s="22">
        <f t="shared" si="16"/>
        <v>1949</v>
      </c>
      <c r="I55" s="22">
        <f t="shared" si="16"/>
        <v>2553</v>
      </c>
      <c r="J55" s="22">
        <f t="shared" si="16"/>
        <v>2074</v>
      </c>
      <c r="K55" s="22">
        <f t="shared" si="16"/>
        <v>2474</v>
      </c>
      <c r="L55" s="22">
        <f t="shared" si="16"/>
        <v>4389</v>
      </c>
      <c r="M55" s="22">
        <f t="shared" si="16"/>
        <v>3998</v>
      </c>
      <c r="N55" s="22">
        <f t="shared" si="16"/>
        <v>5668</v>
      </c>
      <c r="O55" s="22">
        <f t="shared" si="16"/>
        <v>6616</v>
      </c>
      <c r="P55" s="22">
        <f t="shared" si="16"/>
        <v>8029</v>
      </c>
      <c r="Q55" s="22">
        <f t="shared" si="16"/>
        <v>10260</v>
      </c>
      <c r="R55" s="22">
        <f t="shared" si="16"/>
        <v>10705</v>
      </c>
      <c r="S55" s="21">
        <f t="shared" si="16"/>
        <v>9112</v>
      </c>
    </row>
    <row r="56" spans="1:19" ht="25.5">
      <c r="A56" s="54" t="s">
        <v>10</v>
      </c>
      <c r="B56" s="69">
        <f aca="true" t="shared" si="17" ref="B56:S56">SUM(B27,B38,B44,B50,B33)</f>
        <v>5052</v>
      </c>
      <c r="C56" s="20">
        <f t="shared" si="17"/>
        <v>5616</v>
      </c>
      <c r="D56" s="20">
        <f t="shared" si="17"/>
        <v>5708</v>
      </c>
      <c r="E56" s="20">
        <f t="shared" si="17"/>
        <v>6094</v>
      </c>
      <c r="F56" s="20">
        <f t="shared" si="17"/>
        <v>0</v>
      </c>
      <c r="G56" s="20">
        <f t="shared" si="17"/>
        <v>6806</v>
      </c>
      <c r="H56" s="20">
        <f t="shared" si="17"/>
        <v>5633</v>
      </c>
      <c r="I56" s="20">
        <f t="shared" si="17"/>
        <v>5762</v>
      </c>
      <c r="J56" s="20">
        <f t="shared" si="17"/>
        <v>5406</v>
      </c>
      <c r="K56" s="20">
        <f t="shared" si="17"/>
        <v>5899</v>
      </c>
      <c r="L56" s="20">
        <f t="shared" si="17"/>
        <v>7952</v>
      </c>
      <c r="M56" s="20">
        <f t="shared" si="17"/>
        <v>7674</v>
      </c>
      <c r="N56" s="20">
        <f t="shared" si="17"/>
        <v>9159</v>
      </c>
      <c r="O56" s="20">
        <f t="shared" si="17"/>
        <v>10684</v>
      </c>
      <c r="P56" s="20">
        <f t="shared" si="17"/>
        <v>13307</v>
      </c>
      <c r="Q56" s="20">
        <f t="shared" si="17"/>
        <v>15817</v>
      </c>
      <c r="R56" s="20">
        <f t="shared" si="17"/>
        <v>16793</v>
      </c>
      <c r="S56" s="19">
        <f t="shared" si="17"/>
        <v>15453</v>
      </c>
    </row>
    <row r="57" spans="1:19" ht="12.75">
      <c r="A57" s="55" t="s">
        <v>9</v>
      </c>
      <c r="B57" s="70">
        <f>SUM(B32,B39,B45,B51)</f>
        <v>-7024</v>
      </c>
      <c r="C57" s="70">
        <f aca="true" t="shared" si="18" ref="C57:S57">SUM(C32,C39,C45,C51)</f>
        <v>-1832</v>
      </c>
      <c r="D57" s="70">
        <f t="shared" si="18"/>
        <v>-3294</v>
      </c>
      <c r="E57" s="70">
        <f t="shared" si="18"/>
        <v>-4051</v>
      </c>
      <c r="F57" s="70">
        <f t="shared" si="18"/>
        <v>0</v>
      </c>
      <c r="G57" s="70">
        <f t="shared" si="18"/>
        <v>-3471</v>
      </c>
      <c r="H57" s="70">
        <f t="shared" si="18"/>
        <v>-5572</v>
      </c>
      <c r="I57" s="70">
        <f t="shared" si="18"/>
        <v>-5255</v>
      </c>
      <c r="J57" s="70">
        <f t="shared" si="18"/>
        <v>-5515</v>
      </c>
      <c r="K57" s="70">
        <f t="shared" si="18"/>
        <v>-4962</v>
      </c>
      <c r="L57" s="70">
        <f t="shared" si="18"/>
        <v>-3393</v>
      </c>
      <c r="M57" s="70">
        <f t="shared" si="18"/>
        <v>-5115</v>
      </c>
      <c r="N57" s="70">
        <f t="shared" si="18"/>
        <v>-6239</v>
      </c>
      <c r="O57" s="70">
        <f t="shared" si="18"/>
        <v>-6541</v>
      </c>
      <c r="P57" s="70">
        <f t="shared" si="18"/>
        <v>-4426</v>
      </c>
      <c r="Q57" s="70">
        <f t="shared" si="18"/>
        <v>-4416</v>
      </c>
      <c r="R57" s="70">
        <f t="shared" si="18"/>
        <v>-4026</v>
      </c>
      <c r="S57" s="70">
        <f t="shared" si="18"/>
        <v>-7033</v>
      </c>
    </row>
    <row r="58" spans="1:19" ht="12.75">
      <c r="A58" s="56" t="s">
        <v>8</v>
      </c>
      <c r="B58" s="72">
        <f aca="true" t="shared" si="19" ref="B58:S58">B59-B55-B15</f>
        <v>19056</v>
      </c>
      <c r="C58" s="17">
        <f t="shared" si="19"/>
        <v>21815</v>
      </c>
      <c r="D58" s="17">
        <f t="shared" si="19"/>
        <v>21982</v>
      </c>
      <c r="E58" s="17">
        <f t="shared" si="19"/>
        <v>23498</v>
      </c>
      <c r="F58" s="17">
        <f t="shared" si="19"/>
        <v>0</v>
      </c>
      <c r="G58" s="17">
        <f t="shared" si="19"/>
        <v>26776</v>
      </c>
      <c r="H58" s="17">
        <f t="shared" si="19"/>
        <v>26485</v>
      </c>
      <c r="I58" s="17">
        <f t="shared" si="19"/>
        <v>25672</v>
      </c>
      <c r="J58" s="17">
        <f t="shared" si="19"/>
        <v>27757</v>
      </c>
      <c r="K58" s="17">
        <f t="shared" si="19"/>
        <v>38153</v>
      </c>
      <c r="L58" s="17">
        <f t="shared" si="19"/>
        <v>34927</v>
      </c>
      <c r="M58" s="17">
        <f t="shared" si="19"/>
        <v>38946</v>
      </c>
      <c r="N58" s="17">
        <f t="shared" si="19"/>
        <v>37682</v>
      </c>
      <c r="O58" s="17">
        <f t="shared" si="19"/>
        <v>43445</v>
      </c>
      <c r="P58" s="17">
        <f t="shared" si="19"/>
        <v>43494</v>
      </c>
      <c r="Q58" s="17">
        <f t="shared" si="19"/>
        <v>42882</v>
      </c>
      <c r="R58" s="17">
        <f t="shared" si="19"/>
        <v>54724</v>
      </c>
      <c r="S58" s="16">
        <f t="shared" si="19"/>
        <v>56030</v>
      </c>
    </row>
    <row r="59" spans="1:19" ht="12.75">
      <c r="A59" s="57" t="s">
        <v>7</v>
      </c>
      <c r="B59" s="7">
        <v>30514</v>
      </c>
      <c r="C59" s="7">
        <v>30318</v>
      </c>
      <c r="D59" s="7">
        <v>30573</v>
      </c>
      <c r="E59" s="7">
        <v>32875</v>
      </c>
      <c r="F59" s="7"/>
      <c r="G59" s="7">
        <v>36943</v>
      </c>
      <c r="H59" s="7">
        <v>35043</v>
      </c>
      <c r="I59" s="7">
        <v>34332</v>
      </c>
      <c r="J59" s="7">
        <v>34269</v>
      </c>
      <c r="K59" s="7">
        <v>47020</v>
      </c>
      <c r="L59" s="7">
        <v>46010</v>
      </c>
      <c r="M59" s="7">
        <v>50149</v>
      </c>
      <c r="N59" s="7">
        <v>50602</v>
      </c>
      <c r="O59" s="7">
        <v>57963</v>
      </c>
      <c r="P59" s="7">
        <v>59922</v>
      </c>
      <c r="Q59" s="7">
        <v>62067</v>
      </c>
      <c r="R59" s="7">
        <v>75263</v>
      </c>
      <c r="S59" s="6">
        <v>75501</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94+42+165+569+1962</f>
        <v>2832</v>
      </c>
      <c r="C62" s="2">
        <f>622+1280+131</f>
        <v>2033</v>
      </c>
      <c r="D62" s="2">
        <f>919+796</f>
        <v>1715</v>
      </c>
      <c r="E62" s="2">
        <f>633+781</f>
        <v>1414</v>
      </c>
      <c r="F62" s="2"/>
      <c r="G62" s="2">
        <f>647+436</f>
        <v>1083</v>
      </c>
      <c r="H62" s="2">
        <f>341+118</f>
        <v>459</v>
      </c>
      <c r="I62" s="2">
        <f>745+226+13</f>
        <v>984</v>
      </c>
      <c r="J62" s="2">
        <f>786+240</f>
        <v>1026</v>
      </c>
      <c r="K62" s="2">
        <f>704+240</f>
        <v>944</v>
      </c>
      <c r="L62" s="2">
        <f>676+228</f>
        <v>904</v>
      </c>
      <c r="M62" s="2">
        <f>877+241</f>
        <v>1118</v>
      </c>
      <c r="N62" s="2">
        <f>768+239</f>
        <v>1007</v>
      </c>
      <c r="O62" s="2">
        <f>985+355</f>
        <v>1340</v>
      </c>
      <c r="P62" s="2">
        <f>1010+2589</f>
        <v>3599</v>
      </c>
      <c r="Q62" s="2">
        <f>1066+1058</f>
        <v>2124</v>
      </c>
      <c r="R62" s="2">
        <f>1097+839</f>
        <v>1936</v>
      </c>
      <c r="S62" s="5">
        <f>899+1199</f>
        <v>2098</v>
      </c>
    </row>
    <row r="63" spans="1:19" ht="12.75">
      <c r="A63" s="58" t="s">
        <v>37</v>
      </c>
      <c r="B63" s="135">
        <v>81</v>
      </c>
      <c r="C63" s="15">
        <v>309</v>
      </c>
      <c r="D63" s="15">
        <v>201</v>
      </c>
      <c r="E63" s="15">
        <v>214</v>
      </c>
      <c r="F63" s="15"/>
      <c r="G63" s="15">
        <v>269</v>
      </c>
      <c r="H63" s="15">
        <v>302</v>
      </c>
      <c r="I63" s="15">
        <f>420</f>
        <v>420</v>
      </c>
      <c r="J63" s="15">
        <v>429</v>
      </c>
      <c r="K63" s="15">
        <v>459</v>
      </c>
      <c r="L63" s="15">
        <v>510</v>
      </c>
      <c r="M63" s="15">
        <v>655</v>
      </c>
      <c r="N63" s="15">
        <v>671</v>
      </c>
      <c r="O63" s="15">
        <v>1064</v>
      </c>
      <c r="P63" s="15">
        <v>739</v>
      </c>
      <c r="Q63" s="15">
        <v>849</v>
      </c>
      <c r="R63" s="15">
        <v>1096</v>
      </c>
      <c r="S63" s="14">
        <v>1531</v>
      </c>
    </row>
    <row r="64" spans="1:19" ht="12.75">
      <c r="A64" s="59" t="s">
        <v>380</v>
      </c>
      <c r="B64" s="437"/>
      <c r="C64" s="167"/>
      <c r="D64" s="167"/>
      <c r="E64" s="167"/>
      <c r="F64" s="167"/>
      <c r="G64" s="167"/>
      <c r="H64" s="167"/>
      <c r="I64" s="167"/>
      <c r="J64" s="167"/>
      <c r="K64" s="167"/>
      <c r="L64" s="167"/>
      <c r="M64" s="167"/>
      <c r="N64" s="167"/>
      <c r="O64" s="167"/>
      <c r="P64" s="167"/>
      <c r="Q64" s="167"/>
      <c r="R64" s="167"/>
      <c r="S64" s="12"/>
    </row>
    <row r="65" spans="1:19" ht="12.75">
      <c r="A65" s="60" t="s">
        <v>5</v>
      </c>
      <c r="B65" s="11"/>
      <c r="C65" s="11"/>
      <c r="D65" s="11"/>
      <c r="E65" s="11"/>
      <c r="F65" s="11"/>
      <c r="G65" s="11"/>
      <c r="H65" s="11"/>
      <c r="I65" s="11"/>
      <c r="J65" s="11"/>
      <c r="K65" s="11"/>
      <c r="L65" s="11"/>
      <c r="M65" s="11"/>
      <c r="N65" s="11"/>
      <c r="O65" s="11"/>
      <c r="P65" s="11"/>
      <c r="Q65" s="11"/>
      <c r="R65" s="11"/>
      <c r="S65" s="10"/>
    </row>
    <row r="66" spans="1:19" ht="12.75">
      <c r="A66" s="59" t="s">
        <v>42</v>
      </c>
      <c r="B66" s="78">
        <f>5944+1828</f>
        <v>7772</v>
      </c>
      <c r="C66" s="78">
        <f>2561</f>
        <v>2561</v>
      </c>
      <c r="D66" s="13">
        <f>3446</f>
        <v>3446</v>
      </c>
      <c r="E66" s="13">
        <v>3871</v>
      </c>
      <c r="F66" s="13"/>
      <c r="G66" s="13">
        <v>3914</v>
      </c>
      <c r="H66" s="13">
        <v>4053</v>
      </c>
      <c r="I66" s="13">
        <f>2061+442+143+284+604+689+59</f>
        <v>4282</v>
      </c>
      <c r="J66" s="13">
        <v>4274</v>
      </c>
      <c r="K66" s="13">
        <v>3971</v>
      </c>
      <c r="L66" s="13">
        <v>3751</v>
      </c>
      <c r="M66" s="13">
        <v>3652</v>
      </c>
      <c r="N66" s="13">
        <v>4116</v>
      </c>
      <c r="O66" s="13">
        <v>4426</v>
      </c>
      <c r="P66" s="13">
        <v>4995</v>
      </c>
      <c r="Q66" s="13">
        <v>4668</v>
      </c>
      <c r="R66" s="13">
        <v>5746</v>
      </c>
      <c r="S66" s="12">
        <v>6363</v>
      </c>
    </row>
    <row r="67" spans="1:19" ht="12.75">
      <c r="A67" s="59" t="s">
        <v>45</v>
      </c>
      <c r="B67" s="78">
        <v>1361</v>
      </c>
      <c r="C67" s="78">
        <v>3224</v>
      </c>
      <c r="D67" s="13">
        <v>3412</v>
      </c>
      <c r="E67" s="13">
        <v>3532</v>
      </c>
      <c r="F67" s="13"/>
      <c r="G67" s="13">
        <v>4006</v>
      </c>
      <c r="H67" s="13">
        <f>177+688+709+878+787+463+118+110</f>
        <v>3930</v>
      </c>
      <c r="I67" s="13">
        <f>255+675+595+508+1139+712+236+159</f>
        <v>4279</v>
      </c>
      <c r="J67" s="13">
        <f>5502-1382</f>
        <v>4120</v>
      </c>
      <c r="K67" s="13">
        <f>6053-1663</f>
        <v>4390</v>
      </c>
      <c r="L67" s="13">
        <f>5641-1463</f>
        <v>4178</v>
      </c>
      <c r="M67" s="13">
        <f>6117-565</f>
        <v>5552</v>
      </c>
      <c r="N67" s="13">
        <f>6814-1617</f>
        <v>5197</v>
      </c>
      <c r="O67" s="13">
        <f>-1343+6671</f>
        <v>5328</v>
      </c>
      <c r="P67" s="13">
        <f>7105-1488</f>
        <v>5617</v>
      </c>
      <c r="Q67" s="13">
        <f>-1589+7744</f>
        <v>6155</v>
      </c>
      <c r="R67" s="13">
        <f>9456-2729</f>
        <v>6727</v>
      </c>
      <c r="S67" s="12">
        <f>8942-1651</f>
        <v>7291</v>
      </c>
    </row>
    <row r="68" spans="1:19" ht="13.5" customHeight="1">
      <c r="A68" s="79" t="s">
        <v>41</v>
      </c>
      <c r="B68" s="81">
        <v>2943</v>
      </c>
      <c r="C68" s="81">
        <v>1663</v>
      </c>
      <c r="D68" s="82">
        <v>2144</v>
      </c>
      <c r="E68" s="82">
        <v>2742</v>
      </c>
      <c r="F68" s="82"/>
      <c r="G68" s="82">
        <v>2357</v>
      </c>
      <c r="H68" s="82">
        <f>1512+3222</f>
        <v>4734</v>
      </c>
      <c r="I68" s="82">
        <f>1155+2456</f>
        <v>3611</v>
      </c>
      <c r="J68" s="82">
        <f>1382+2527</f>
        <v>3909</v>
      </c>
      <c r="K68" s="82">
        <f>1663+2500</f>
        <v>4163</v>
      </c>
      <c r="L68" s="82">
        <f>1463+3416</f>
        <v>4879</v>
      </c>
      <c r="M68" s="82">
        <f>1565+3585</f>
        <v>5150</v>
      </c>
      <c r="N68" s="82">
        <f>1617+6085</f>
        <v>7702</v>
      </c>
      <c r="O68" s="82">
        <f>7471+1343</f>
        <v>8814</v>
      </c>
      <c r="P68" s="82">
        <f>1488+7121</f>
        <v>8609</v>
      </c>
      <c r="Q68" s="82">
        <f>9410+1589</f>
        <v>10999</v>
      </c>
      <c r="R68" s="82">
        <f>2729+8346</f>
        <v>11075</v>
      </c>
      <c r="S68" s="83">
        <f>1651+8832</f>
        <v>10483</v>
      </c>
    </row>
    <row r="69" spans="1:19" ht="51">
      <c r="A69" s="61" t="s">
        <v>4</v>
      </c>
      <c r="B69" s="9"/>
      <c r="C69" s="9">
        <f>9842-SUM(C62:C67)</f>
        <v>1715</v>
      </c>
      <c r="D69" s="9">
        <f>11244-SUM(D62:D67)</f>
        <v>2470</v>
      </c>
      <c r="E69" s="9">
        <f>11922-SUM(E62:E67)</f>
        <v>2891</v>
      </c>
      <c r="F69" s="9"/>
      <c r="G69" s="9">
        <f>12246-SUM(G62:G67)</f>
        <v>2974</v>
      </c>
      <c r="H69" s="9">
        <f>13252-SUM(H62:H67)</f>
        <v>4508</v>
      </c>
      <c r="I69" s="9">
        <f>14037-SUM(I62:I67)</f>
        <v>4072</v>
      </c>
      <c r="J69" s="9">
        <f>14750-SUM(J62:J67)</f>
        <v>4901</v>
      </c>
      <c r="K69" s="9">
        <f>14825-SUM(K62:K67)</f>
        <v>5061</v>
      </c>
      <c r="L69" s="9">
        <f>15238-SUM(L62:L67)</f>
        <v>5895</v>
      </c>
      <c r="M69" s="9">
        <f>16229-SUM(M62:M67)</f>
        <v>5252</v>
      </c>
      <c r="N69" s="9">
        <f>19752-SUM(N62:N67)</f>
        <v>8761</v>
      </c>
      <c r="O69" s="9">
        <f>22018-SUM(O62:O67)</f>
        <v>9860</v>
      </c>
      <c r="P69" s="9">
        <f>25066-SUM(P62:P67)</f>
        <v>10116</v>
      </c>
      <c r="Q69" s="9">
        <f>26319-SUM(Q62:Q67)</f>
        <v>12523</v>
      </c>
      <c r="R69" s="9">
        <f>30237-SUM(R62:R67)</f>
        <v>14732</v>
      </c>
      <c r="S69" s="8">
        <f>30161-SUM(S62:S67)</f>
        <v>12878</v>
      </c>
    </row>
    <row r="70" spans="1:19" ht="25.5">
      <c r="A70" s="61" t="s">
        <v>3</v>
      </c>
      <c r="B70" s="9"/>
      <c r="C70" s="9">
        <f>C72-9842</f>
        <v>12301</v>
      </c>
      <c r="D70" s="9">
        <f>D72-11244</f>
        <v>11678</v>
      </c>
      <c r="E70" s="9">
        <f>E72-11922</f>
        <v>12531</v>
      </c>
      <c r="F70" s="9"/>
      <c r="G70" s="9">
        <f>G72-12246</f>
        <v>16222</v>
      </c>
      <c r="H70" s="9">
        <f>H72-13252</f>
        <v>15657</v>
      </c>
      <c r="I70" s="9">
        <f>I72-14037</f>
        <v>16589</v>
      </c>
      <c r="J70" s="9">
        <f>J72-14750</f>
        <v>18051</v>
      </c>
      <c r="K70" s="9">
        <f>K72-14825</f>
        <v>23042</v>
      </c>
      <c r="L70" s="9">
        <f>L72-15238</f>
        <v>21344</v>
      </c>
      <c r="M70" s="9">
        <f>M72-16229</f>
        <v>22609</v>
      </c>
      <c r="N70" s="9">
        <f>N72-19752</f>
        <v>23523</v>
      </c>
      <c r="O70" s="9">
        <f>O72-22018</f>
        <v>26411</v>
      </c>
      <c r="P70" s="9">
        <f>P72-25066</f>
        <v>28951</v>
      </c>
      <c r="Q70" s="9">
        <f>Q72-26319</f>
        <v>27862</v>
      </c>
      <c r="R70" s="9">
        <f>R72-30237</f>
        <v>30973</v>
      </c>
      <c r="S70" s="8">
        <f>S72-30161</f>
        <v>32045</v>
      </c>
    </row>
    <row r="71" spans="1:19" ht="38.25">
      <c r="A71" s="47" t="s">
        <v>2</v>
      </c>
      <c r="B71" s="73">
        <f>B72-SUM(B62:B67)</f>
        <v>11682</v>
      </c>
      <c r="C71" s="74">
        <f>C72-SUM(C62:C67)</f>
        <v>14016</v>
      </c>
      <c r="D71" s="74">
        <f>D72-SUM(D62:D67)</f>
        <v>14148</v>
      </c>
      <c r="E71" s="74">
        <f>E72-SUM(E62:E67)</f>
        <v>15422</v>
      </c>
      <c r="F71" s="74"/>
      <c r="G71" s="74">
        <f aca="true" t="shared" si="20" ref="G71:S71">G72-SUM(G62:G67)</f>
        <v>19196</v>
      </c>
      <c r="H71" s="74">
        <f t="shared" si="20"/>
        <v>20165</v>
      </c>
      <c r="I71" s="74">
        <f t="shared" si="20"/>
        <v>20661</v>
      </c>
      <c r="J71" s="74">
        <f t="shared" si="20"/>
        <v>22952</v>
      </c>
      <c r="K71" s="74">
        <f t="shared" si="20"/>
        <v>28103</v>
      </c>
      <c r="L71" s="74">
        <f t="shared" si="20"/>
        <v>27239</v>
      </c>
      <c r="M71" s="74">
        <f t="shared" si="20"/>
        <v>27861</v>
      </c>
      <c r="N71" s="74">
        <f t="shared" si="20"/>
        <v>32284</v>
      </c>
      <c r="O71" s="74">
        <f t="shared" si="20"/>
        <v>36271</v>
      </c>
      <c r="P71" s="74">
        <f t="shared" si="20"/>
        <v>39067</v>
      </c>
      <c r="Q71" s="74">
        <f t="shared" si="20"/>
        <v>40385</v>
      </c>
      <c r="R71" s="74">
        <f t="shared" si="20"/>
        <v>45705</v>
      </c>
      <c r="S71" s="75">
        <f t="shared" si="20"/>
        <v>44923</v>
      </c>
    </row>
    <row r="72" spans="1:19" ht="12.75">
      <c r="A72" s="57" t="s">
        <v>1</v>
      </c>
      <c r="B72" s="7">
        <v>23728</v>
      </c>
      <c r="C72" s="7">
        <v>22143</v>
      </c>
      <c r="D72" s="7">
        <v>22922</v>
      </c>
      <c r="E72" s="7">
        <v>24453</v>
      </c>
      <c r="F72" s="7"/>
      <c r="G72" s="7">
        <v>28468</v>
      </c>
      <c r="H72" s="7">
        <v>28909</v>
      </c>
      <c r="I72" s="7">
        <v>30626</v>
      </c>
      <c r="J72" s="7">
        <v>32801</v>
      </c>
      <c r="K72" s="7">
        <v>37867</v>
      </c>
      <c r="L72" s="7">
        <v>36582</v>
      </c>
      <c r="M72" s="7">
        <v>38838</v>
      </c>
      <c r="N72" s="7">
        <v>43275</v>
      </c>
      <c r="O72" s="7">
        <v>48429</v>
      </c>
      <c r="P72" s="7">
        <v>54017</v>
      </c>
      <c r="Q72" s="7">
        <v>54181</v>
      </c>
      <c r="R72" s="7">
        <v>61210</v>
      </c>
      <c r="S72" s="6">
        <v>62206</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67371</v>
      </c>
      <c r="C74" s="4">
        <v>117765</v>
      </c>
      <c r="D74" s="4">
        <v>124956</v>
      </c>
      <c r="E74" s="4">
        <v>136346</v>
      </c>
      <c r="F74" s="4"/>
      <c r="G74" s="4">
        <v>156189</v>
      </c>
      <c r="H74" s="4">
        <v>170309</v>
      </c>
      <c r="I74" s="4">
        <v>170775</v>
      </c>
      <c r="J74" s="4">
        <v>192558</v>
      </c>
      <c r="K74" s="4">
        <v>189623</v>
      </c>
      <c r="L74" s="4">
        <v>199834</v>
      </c>
      <c r="M74" s="4">
        <v>219996</v>
      </c>
      <c r="N74" s="4">
        <v>224849</v>
      </c>
      <c r="O74" s="4">
        <v>278071</v>
      </c>
      <c r="P74" s="4">
        <v>317632</v>
      </c>
      <c r="Q74" s="4">
        <v>347864</v>
      </c>
      <c r="R74" s="4">
        <v>354068</v>
      </c>
      <c r="S74" s="3">
        <v>382646</v>
      </c>
    </row>
  </sheetData>
  <sheetProtection/>
  <mergeCells count="1">
    <mergeCell ref="B1:T1"/>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pane xSplit="1" ySplit="2" topLeftCell="N39" activePane="bottomRight" state="frozen"/>
      <selection pane="topLeft" activeCell="H29" sqref="H29"/>
      <selection pane="topRight" activeCell="H29" sqref="H29"/>
      <selection pane="bottomLeft" activeCell="H29" sqref="H29"/>
      <selection pane="bottomRight" activeCell="T62" sqref="T62"/>
    </sheetView>
  </sheetViews>
  <sheetFormatPr defaultColWidth="9.140625" defaultRowHeight="15" outlineLevelRow="1"/>
  <cols>
    <col min="1" max="1" width="32.421875" style="2" customWidth="1"/>
    <col min="2" max="16384" width="9.140625" style="1" customWidth="1"/>
  </cols>
  <sheetData>
    <row r="1" spans="1:19" ht="12.75">
      <c r="A1" s="21"/>
      <c r="B1" s="482" t="s">
        <v>66</v>
      </c>
      <c r="C1" s="483"/>
      <c r="D1" s="483"/>
      <c r="E1" s="483"/>
      <c r="F1" s="483"/>
      <c r="G1" s="483"/>
      <c r="H1" s="483"/>
      <c r="I1" s="483"/>
      <c r="J1" s="483"/>
      <c r="K1" s="483"/>
      <c r="L1" s="483"/>
      <c r="M1" s="483"/>
      <c r="N1" s="483"/>
      <c r="O1" s="483"/>
      <c r="P1" s="483"/>
      <c r="Q1" s="483"/>
      <c r="R1" s="483"/>
      <c r="S1" s="484"/>
    </row>
    <row r="2" spans="1:20" ht="12.75">
      <c r="A2" s="43"/>
      <c r="B2" s="88">
        <v>1991</v>
      </c>
      <c r="C2" s="88">
        <v>1992</v>
      </c>
      <c r="D2" s="88">
        <v>1993</v>
      </c>
      <c r="E2" s="88">
        <v>1994</v>
      </c>
      <c r="F2" s="88">
        <v>1995</v>
      </c>
      <c r="G2" s="88">
        <v>1996</v>
      </c>
      <c r="H2" s="44">
        <v>1997</v>
      </c>
      <c r="I2" s="44">
        <v>1998</v>
      </c>
      <c r="J2" s="88">
        <v>1999</v>
      </c>
      <c r="K2" s="44">
        <v>2000</v>
      </c>
      <c r="L2" s="44">
        <v>2001</v>
      </c>
      <c r="M2" s="88">
        <v>2002</v>
      </c>
      <c r="N2" s="44">
        <v>2003</v>
      </c>
      <c r="O2" s="44">
        <v>2004</v>
      </c>
      <c r="P2" s="44">
        <v>2005</v>
      </c>
      <c r="Q2" s="44">
        <v>2006</v>
      </c>
      <c r="R2" s="44">
        <v>2007</v>
      </c>
      <c r="S2" s="116">
        <v>2008</v>
      </c>
      <c r="T2" s="1" t="s">
        <v>69</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v>8316</v>
      </c>
      <c r="C5" s="2">
        <v>8277</v>
      </c>
      <c r="D5" s="2">
        <v>8273</v>
      </c>
      <c r="E5" s="2">
        <v>8310</v>
      </c>
      <c r="F5" s="2">
        <v>8587</v>
      </c>
      <c r="G5" s="2">
        <v>8617</v>
      </c>
      <c r="H5" s="2">
        <v>8833</v>
      </c>
      <c r="I5" s="2">
        <v>8861</v>
      </c>
      <c r="J5" s="2">
        <v>8862</v>
      </c>
      <c r="K5" s="2">
        <v>8757</v>
      </c>
      <c r="L5" s="2">
        <v>8953</v>
      </c>
      <c r="M5" s="2">
        <v>9142</v>
      </c>
      <c r="N5" s="2">
        <v>9837</v>
      </c>
      <c r="O5" s="2">
        <v>11500</v>
      </c>
      <c r="P5" s="2">
        <v>12316</v>
      </c>
      <c r="Q5" s="2">
        <v>11747</v>
      </c>
      <c r="R5" s="2">
        <f>R15-R14-R13</f>
        <v>13368</v>
      </c>
      <c r="S5" s="5">
        <v>13239</v>
      </c>
    </row>
    <row r="6" spans="1:19" ht="12.75">
      <c r="A6" s="47" t="s">
        <v>28</v>
      </c>
      <c r="B6" s="2"/>
      <c r="C6" s="2"/>
      <c r="D6" s="2"/>
      <c r="E6" s="2"/>
      <c r="F6" s="2"/>
      <c r="G6" s="2"/>
      <c r="H6" s="2"/>
      <c r="I6" s="2"/>
      <c r="J6" s="2"/>
      <c r="K6" s="2"/>
      <c r="L6" s="2"/>
      <c r="M6" s="2"/>
      <c r="N6" s="2"/>
      <c r="O6" s="2"/>
      <c r="P6" s="2"/>
      <c r="Q6" s="2"/>
      <c r="R6" s="2"/>
      <c r="S6" s="5"/>
    </row>
    <row r="7" spans="1:19" ht="12.75">
      <c r="A7" s="47" t="s">
        <v>27</v>
      </c>
      <c r="B7" s="2"/>
      <c r="C7" s="2"/>
      <c r="D7" s="2"/>
      <c r="E7" s="2"/>
      <c r="F7" s="2"/>
      <c r="G7" s="2"/>
      <c r="H7" s="2"/>
      <c r="I7" s="2"/>
      <c r="J7" s="2"/>
      <c r="K7" s="2">
        <f aca="true" t="shared" si="0" ref="K7:S7">K18</f>
        <v>0</v>
      </c>
      <c r="L7" s="2">
        <f t="shared" si="0"/>
        <v>0</v>
      </c>
      <c r="M7" s="2">
        <f t="shared" si="0"/>
        <v>0</v>
      </c>
      <c r="N7" s="2">
        <f t="shared" si="0"/>
        <v>0</v>
      </c>
      <c r="O7" s="2">
        <f t="shared" si="0"/>
        <v>0</v>
      </c>
      <c r="P7" s="2">
        <f t="shared" si="0"/>
        <v>0</v>
      </c>
      <c r="Q7" s="2">
        <f t="shared" si="0"/>
        <v>0</v>
      </c>
      <c r="R7" s="2">
        <f t="shared" si="0"/>
        <v>0</v>
      </c>
      <c r="S7" s="5">
        <f t="shared" si="0"/>
        <v>0</v>
      </c>
    </row>
    <row r="8" spans="1:19" ht="12.75">
      <c r="A8" s="47" t="s">
        <v>26</v>
      </c>
      <c r="B8" s="2"/>
      <c r="C8" s="2"/>
      <c r="D8" s="2"/>
      <c r="E8" s="2"/>
      <c r="F8" s="2"/>
      <c r="G8" s="2"/>
      <c r="H8" s="2"/>
      <c r="I8" s="2"/>
      <c r="J8" s="2"/>
      <c r="K8" s="2">
        <f aca="true" t="shared" si="1" ref="K8:S8">K24</f>
        <v>0</v>
      </c>
      <c r="L8" s="2">
        <f t="shared" si="1"/>
        <v>0</v>
      </c>
      <c r="M8" s="2">
        <f t="shared" si="1"/>
        <v>0</v>
      </c>
      <c r="N8" s="2">
        <f t="shared" si="1"/>
        <v>0</v>
      </c>
      <c r="O8" s="2">
        <f t="shared" si="1"/>
        <v>0</v>
      </c>
      <c r="P8" s="2">
        <f t="shared" si="1"/>
        <v>0</v>
      </c>
      <c r="Q8" s="2">
        <f t="shared" si="1"/>
        <v>0</v>
      </c>
      <c r="R8" s="2">
        <f t="shared" si="1"/>
        <v>0</v>
      </c>
      <c r="S8" s="5">
        <f t="shared" si="1"/>
        <v>0</v>
      </c>
    </row>
    <row r="9" spans="1:19" ht="12.75">
      <c r="A9" s="59" t="s">
        <v>35</v>
      </c>
      <c r="B9" s="78"/>
      <c r="C9" s="78"/>
      <c r="D9" s="78"/>
      <c r="E9" s="78"/>
      <c r="F9" s="13"/>
      <c r="G9" s="13"/>
      <c r="H9" s="13"/>
      <c r="I9" s="13"/>
      <c r="J9" s="13"/>
      <c r="K9" s="13">
        <f aca="true" t="shared" si="2" ref="K9:S9">K36</f>
        <v>0</v>
      </c>
      <c r="L9" s="13">
        <f t="shared" si="2"/>
        <v>0</v>
      </c>
      <c r="M9" s="13">
        <f t="shared" si="2"/>
        <v>0</v>
      </c>
      <c r="N9" s="13">
        <f t="shared" si="2"/>
        <v>0</v>
      </c>
      <c r="O9" s="13">
        <f t="shared" si="2"/>
        <v>0</v>
      </c>
      <c r="P9" s="13">
        <f t="shared" si="2"/>
        <v>5601</v>
      </c>
      <c r="Q9" s="13">
        <f t="shared" si="2"/>
        <v>5424</v>
      </c>
      <c r="R9" s="13">
        <f t="shared" si="2"/>
        <v>5813</v>
      </c>
      <c r="S9" s="12">
        <f t="shared" si="2"/>
        <v>6824</v>
      </c>
    </row>
    <row r="10" spans="1:19" ht="12.75">
      <c r="A10" s="59" t="s">
        <v>43</v>
      </c>
      <c r="B10" s="78"/>
      <c r="C10" s="78"/>
      <c r="D10" s="78"/>
      <c r="E10" s="78"/>
      <c r="F10" s="13"/>
      <c r="G10" s="13"/>
      <c r="H10" s="13"/>
      <c r="I10" s="13"/>
      <c r="J10" s="13"/>
      <c r="K10" s="13">
        <f aca="true" t="shared" si="3" ref="K10:S10">K48</f>
        <v>0</v>
      </c>
      <c r="L10" s="13">
        <f t="shared" si="3"/>
        <v>0</v>
      </c>
      <c r="M10" s="13">
        <f t="shared" si="3"/>
        <v>0</v>
      </c>
      <c r="N10" s="13">
        <f t="shared" si="3"/>
        <v>0</v>
      </c>
      <c r="O10" s="13">
        <f t="shared" si="3"/>
        <v>0</v>
      </c>
      <c r="P10" s="13">
        <f t="shared" si="3"/>
        <v>0</v>
      </c>
      <c r="Q10" s="13">
        <f t="shared" si="3"/>
        <v>0</v>
      </c>
      <c r="R10" s="13">
        <f t="shared" si="3"/>
        <v>356</v>
      </c>
      <c r="S10" s="12">
        <f t="shared" si="3"/>
        <v>1113</v>
      </c>
    </row>
    <row r="11" spans="1:19" ht="12.75">
      <c r="A11" s="59" t="s">
        <v>44</v>
      </c>
      <c r="B11" s="78"/>
      <c r="C11" s="78"/>
      <c r="D11" s="78"/>
      <c r="E11" s="78"/>
      <c r="F11" s="13"/>
      <c r="G11" s="13"/>
      <c r="H11" s="13"/>
      <c r="I11" s="13"/>
      <c r="J11" s="13"/>
      <c r="K11" s="13">
        <f aca="true" t="shared" si="4" ref="K11:S11">K42</f>
        <v>0</v>
      </c>
      <c r="L11" s="13">
        <f t="shared" si="4"/>
        <v>0</v>
      </c>
      <c r="M11" s="13">
        <f t="shared" si="4"/>
        <v>0</v>
      </c>
      <c r="N11" s="13">
        <f t="shared" si="4"/>
        <v>0</v>
      </c>
      <c r="O11" s="13">
        <f t="shared" si="4"/>
        <v>0</v>
      </c>
      <c r="P11" s="13">
        <f t="shared" si="4"/>
        <v>0</v>
      </c>
      <c r="Q11" s="13">
        <f t="shared" si="4"/>
        <v>0</v>
      </c>
      <c r="R11" s="13">
        <f t="shared" si="4"/>
        <v>1443</v>
      </c>
      <c r="S11" s="12">
        <f t="shared" si="4"/>
        <v>1628</v>
      </c>
    </row>
    <row r="12" spans="1:19" ht="12.75">
      <c r="A12" s="47" t="s">
        <v>25</v>
      </c>
      <c r="B12" s="2"/>
      <c r="C12" s="2"/>
      <c r="D12" s="2"/>
      <c r="E12" s="2"/>
      <c r="F12" s="2"/>
      <c r="G12" s="2"/>
      <c r="H12" s="2"/>
      <c r="I12" s="2"/>
      <c r="J12" s="2"/>
      <c r="K12" s="2">
        <f aca="true" t="shared" si="5" ref="K12:S12">K30</f>
        <v>0</v>
      </c>
      <c r="L12" s="2">
        <f t="shared" si="5"/>
        <v>0</v>
      </c>
      <c r="M12" s="2">
        <f t="shared" si="5"/>
        <v>0</v>
      </c>
      <c r="N12" s="2">
        <f t="shared" si="5"/>
        <v>0</v>
      </c>
      <c r="O12" s="2">
        <f t="shared" si="5"/>
        <v>0</v>
      </c>
      <c r="P12" s="2">
        <f t="shared" si="5"/>
        <v>0</v>
      </c>
      <c r="Q12" s="2">
        <f t="shared" si="5"/>
        <v>0</v>
      </c>
      <c r="R12" s="2">
        <f t="shared" si="5"/>
        <v>0</v>
      </c>
      <c r="S12" s="5">
        <f t="shared" si="5"/>
        <v>0</v>
      </c>
    </row>
    <row r="13" spans="1:19" ht="12.75">
      <c r="A13" s="46" t="s">
        <v>24</v>
      </c>
      <c r="B13" s="42">
        <v>2922</v>
      </c>
      <c r="C13" s="42">
        <v>2361</v>
      </c>
      <c r="D13" s="42">
        <v>2407</v>
      </c>
      <c r="E13" s="42">
        <v>2500</v>
      </c>
      <c r="F13" s="42">
        <v>2580</v>
      </c>
      <c r="G13" s="42">
        <v>2664</v>
      </c>
      <c r="H13" s="42">
        <v>2944</v>
      </c>
      <c r="I13" s="42">
        <v>3129</v>
      </c>
      <c r="J13" s="42">
        <v>3285</v>
      </c>
      <c r="K13" s="42">
        <v>3273</v>
      </c>
      <c r="L13" s="42">
        <v>3359</v>
      </c>
      <c r="M13" s="42">
        <v>3623</v>
      </c>
      <c r="N13" s="42">
        <v>3806</v>
      </c>
      <c r="O13" s="42">
        <v>5465</v>
      </c>
      <c r="P13" s="42">
        <v>7033</v>
      </c>
      <c r="Q13" s="42">
        <v>6138</v>
      </c>
      <c r="R13" s="42">
        <f>SUM(R6:R12)</f>
        <v>7612</v>
      </c>
      <c r="S13" s="28">
        <f>S15-S14-S5</f>
        <v>12032</v>
      </c>
    </row>
    <row r="14" spans="1:19" ht="12.75">
      <c r="A14" s="47" t="s">
        <v>23</v>
      </c>
      <c r="B14" s="2">
        <v>1</v>
      </c>
      <c r="C14" s="2"/>
      <c r="D14" s="2"/>
      <c r="E14" s="2">
        <v>-8</v>
      </c>
      <c r="F14" s="2"/>
      <c r="G14" s="2">
        <f>G15-G13-G5</f>
        <v>1196</v>
      </c>
      <c r="H14" s="2">
        <f>H15-H13-H5</f>
        <v>1131</v>
      </c>
      <c r="I14" s="2">
        <f>I15-I13-I5</f>
        <v>1224</v>
      </c>
      <c r="J14" s="2">
        <f aca="true" t="shared" si="6" ref="J14:Q14">J15-J13-J5</f>
        <v>1241</v>
      </c>
      <c r="K14" s="2">
        <f t="shared" si="6"/>
        <v>1247</v>
      </c>
      <c r="L14" s="2">
        <f t="shared" si="6"/>
        <v>1221</v>
      </c>
      <c r="M14" s="2">
        <f t="shared" si="6"/>
        <v>1264</v>
      </c>
      <c r="N14" s="2">
        <f t="shared" si="6"/>
        <v>409</v>
      </c>
      <c r="O14" s="2">
        <f t="shared" si="6"/>
        <v>-20</v>
      </c>
      <c r="P14" s="2">
        <f t="shared" si="6"/>
        <v>-95</v>
      </c>
      <c r="Q14" s="2">
        <f t="shared" si="6"/>
        <v>0</v>
      </c>
      <c r="R14" s="2">
        <f>90+358</f>
        <v>448</v>
      </c>
      <c r="S14" s="5">
        <f>471+15</f>
        <v>486</v>
      </c>
    </row>
    <row r="15" spans="1:19" ht="12.75">
      <c r="A15" s="48" t="s">
        <v>22</v>
      </c>
      <c r="B15" s="72">
        <f>SUM(B5,B13:B14)</f>
        <v>11239</v>
      </c>
      <c r="C15" s="17">
        <f>SUM(C5,C13:C14)</f>
        <v>10638</v>
      </c>
      <c r="D15" s="17">
        <f>SUM(D5,D13:D14)</f>
        <v>10680</v>
      </c>
      <c r="E15" s="17">
        <f>SUM(E5,E13:E14)</f>
        <v>10802</v>
      </c>
      <c r="F15" s="17">
        <f>SUM(F5,F13:F14)</f>
        <v>11167</v>
      </c>
      <c r="G15" s="17">
        <v>12477</v>
      </c>
      <c r="H15" s="17">
        <v>12908</v>
      </c>
      <c r="I15" s="17">
        <v>13214</v>
      </c>
      <c r="J15" s="114">
        <v>13388</v>
      </c>
      <c r="K15" s="114">
        <v>13277</v>
      </c>
      <c r="L15" s="114">
        <v>13533</v>
      </c>
      <c r="M15" s="114">
        <v>14029</v>
      </c>
      <c r="N15" s="114">
        <v>14052</v>
      </c>
      <c r="O15" s="114">
        <v>16945</v>
      </c>
      <c r="P15" s="114">
        <v>19254</v>
      </c>
      <c r="Q15" s="114">
        <v>17885</v>
      </c>
      <c r="R15" s="114">
        <v>21428</v>
      </c>
      <c r="S15" s="115">
        <v>25757</v>
      </c>
    </row>
    <row r="16" spans="1:19" ht="12.75">
      <c r="A16" s="5"/>
      <c r="B16" s="42"/>
      <c r="C16" s="42"/>
      <c r="D16" s="42"/>
      <c r="E16" s="42"/>
      <c r="F16" s="42"/>
      <c r="G16" s="42"/>
      <c r="H16" s="42"/>
      <c r="I16" s="42"/>
      <c r="J16" s="42"/>
      <c r="K16" s="42"/>
      <c r="L16" s="42"/>
      <c r="M16" s="42"/>
      <c r="N16" s="42"/>
      <c r="O16" s="42"/>
      <c r="P16" s="42"/>
      <c r="Q16" s="42"/>
      <c r="R16" s="42"/>
      <c r="S16" s="28"/>
    </row>
    <row r="17" spans="1:19" ht="12.75" outlineLevel="1">
      <c r="A17" s="41" t="s">
        <v>21</v>
      </c>
      <c r="B17" s="40"/>
      <c r="C17" s="40"/>
      <c r="D17" s="40"/>
      <c r="E17" s="40"/>
      <c r="F17" s="40"/>
      <c r="G17" s="40"/>
      <c r="H17" s="40"/>
      <c r="I17" s="40"/>
      <c r="J17" s="40"/>
      <c r="K17" s="40"/>
      <c r="L17" s="40"/>
      <c r="M17" s="40"/>
      <c r="N17" s="40"/>
      <c r="O17" s="40"/>
      <c r="P17" s="40"/>
      <c r="Q17" s="40"/>
      <c r="R17" s="40"/>
      <c r="S17" s="39"/>
    </row>
    <row r="18" spans="1:19" ht="12.75" outlineLevel="1">
      <c r="A18" s="47" t="s">
        <v>12</v>
      </c>
      <c r="B18" s="30"/>
      <c r="C18" s="30"/>
      <c r="D18" s="30"/>
      <c r="E18" s="30"/>
      <c r="F18" s="30"/>
      <c r="G18" s="30"/>
      <c r="H18" s="30"/>
      <c r="I18" s="30"/>
      <c r="J18" s="30"/>
      <c r="K18" s="30"/>
      <c r="L18" s="30"/>
      <c r="M18" s="30"/>
      <c r="N18" s="30"/>
      <c r="O18" s="30"/>
      <c r="P18" s="30"/>
      <c r="Q18" s="30"/>
      <c r="R18" s="30"/>
      <c r="S18" s="5"/>
    </row>
    <row r="19" spans="1:19" ht="25.5" outlineLevel="1">
      <c r="A19" s="47" t="s">
        <v>16</v>
      </c>
      <c r="B19" s="30"/>
      <c r="C19" s="30"/>
      <c r="D19" s="30"/>
      <c r="E19" s="30"/>
      <c r="F19" s="30"/>
      <c r="G19" s="30"/>
      <c r="H19" s="30"/>
      <c r="I19" s="30"/>
      <c r="J19" s="30"/>
      <c r="K19" s="30"/>
      <c r="L19" s="30"/>
      <c r="M19" s="30"/>
      <c r="N19" s="30"/>
      <c r="O19" s="30"/>
      <c r="P19" s="30"/>
      <c r="Q19" s="30"/>
      <c r="R19" s="30"/>
      <c r="S19" s="5"/>
    </row>
    <row r="20" spans="1:19" ht="25.5" outlineLevel="1">
      <c r="A20" s="46" t="s">
        <v>20</v>
      </c>
      <c r="B20" s="29">
        <f aca="true" t="shared" si="7" ref="B20:S20">SUM(B18:B19)</f>
        <v>0</v>
      </c>
      <c r="C20" s="29">
        <f t="shared" si="7"/>
        <v>0</v>
      </c>
      <c r="D20" s="29">
        <f t="shared" si="7"/>
        <v>0</v>
      </c>
      <c r="E20" s="29">
        <f t="shared" si="7"/>
        <v>0</v>
      </c>
      <c r="F20" s="29">
        <f t="shared" si="7"/>
        <v>0</v>
      </c>
      <c r="G20" s="29">
        <f t="shared" si="7"/>
        <v>0</v>
      </c>
      <c r="H20" s="29">
        <f t="shared" si="7"/>
        <v>0</v>
      </c>
      <c r="I20" s="29">
        <f t="shared" si="7"/>
        <v>0</v>
      </c>
      <c r="J20" s="29">
        <f t="shared" si="7"/>
        <v>0</v>
      </c>
      <c r="K20" s="29">
        <f t="shared" si="7"/>
        <v>0</v>
      </c>
      <c r="L20" s="29">
        <f t="shared" si="7"/>
        <v>0</v>
      </c>
      <c r="M20" s="29">
        <f t="shared" si="7"/>
        <v>0</v>
      </c>
      <c r="N20" s="29">
        <f t="shared" si="7"/>
        <v>0</v>
      </c>
      <c r="O20" s="29">
        <f t="shared" si="7"/>
        <v>0</v>
      </c>
      <c r="P20" s="29">
        <f t="shared" si="7"/>
        <v>0</v>
      </c>
      <c r="Q20" s="29">
        <f t="shared" si="7"/>
        <v>0</v>
      </c>
      <c r="R20" s="29">
        <f t="shared" si="7"/>
        <v>0</v>
      </c>
      <c r="S20" s="28">
        <f t="shared" si="7"/>
        <v>0</v>
      </c>
    </row>
    <row r="21" spans="1:19" ht="12.75" outlineLevel="1">
      <c r="A21" s="49" t="s">
        <v>14</v>
      </c>
      <c r="B21" s="27"/>
      <c r="C21" s="27"/>
      <c r="D21" s="27"/>
      <c r="E21" s="27"/>
      <c r="F21" s="27"/>
      <c r="G21" s="27"/>
      <c r="H21" s="27"/>
      <c r="I21" s="27"/>
      <c r="J21" s="27"/>
      <c r="K21" s="27"/>
      <c r="L21" s="27"/>
      <c r="M21" s="27"/>
      <c r="N21" s="27"/>
      <c r="O21" s="27"/>
      <c r="P21" s="27"/>
      <c r="Q21" s="27"/>
      <c r="R21" s="27"/>
      <c r="S21" s="26"/>
    </row>
    <row r="22" spans="1:19" ht="12.75" outlineLevel="1">
      <c r="A22" s="5"/>
      <c r="B22" s="42"/>
      <c r="C22" s="42"/>
      <c r="D22" s="42"/>
      <c r="E22" s="42"/>
      <c r="F22" s="42"/>
      <c r="G22" s="42"/>
      <c r="H22" s="42"/>
      <c r="I22" s="42"/>
      <c r="J22" s="42"/>
      <c r="K22" s="42"/>
      <c r="L22" s="42"/>
      <c r="M22" s="42"/>
      <c r="N22" s="42"/>
      <c r="O22" s="42"/>
      <c r="P22" s="42"/>
      <c r="Q22" s="42"/>
      <c r="R22" s="42"/>
      <c r="S22" s="28"/>
    </row>
    <row r="23" spans="1:19" ht="12.75" outlineLevel="1">
      <c r="A23" s="38" t="s">
        <v>19</v>
      </c>
      <c r="B23" s="37"/>
      <c r="C23" s="37"/>
      <c r="D23" s="37"/>
      <c r="E23" s="37"/>
      <c r="F23" s="37"/>
      <c r="G23" s="37"/>
      <c r="H23" s="37"/>
      <c r="I23" s="37"/>
      <c r="J23" s="37"/>
      <c r="K23" s="37"/>
      <c r="L23" s="37"/>
      <c r="M23" s="37"/>
      <c r="N23" s="37"/>
      <c r="O23" s="37"/>
      <c r="P23" s="37"/>
      <c r="Q23" s="37"/>
      <c r="R23" s="37"/>
      <c r="S23" s="36"/>
    </row>
    <row r="24" spans="1:19" ht="12.75" outlineLevel="1">
      <c r="A24" s="47" t="s">
        <v>12</v>
      </c>
      <c r="B24" s="30"/>
      <c r="C24" s="30"/>
      <c r="D24" s="30"/>
      <c r="E24" s="30"/>
      <c r="F24" s="30"/>
      <c r="G24" s="30"/>
      <c r="H24" s="30"/>
      <c r="I24" s="30"/>
      <c r="J24" s="30"/>
      <c r="K24" s="30"/>
      <c r="L24" s="30"/>
      <c r="M24" s="30"/>
      <c r="N24" s="30"/>
      <c r="O24" s="30"/>
      <c r="P24" s="30"/>
      <c r="Q24" s="30"/>
      <c r="R24" s="30"/>
      <c r="S24" s="5"/>
    </row>
    <row r="25" spans="1:19" ht="25.5" outlineLevel="1">
      <c r="A25" s="47" t="s">
        <v>16</v>
      </c>
      <c r="B25" s="30"/>
      <c r="C25" s="30"/>
      <c r="D25" s="30"/>
      <c r="E25" s="30"/>
      <c r="F25" s="30"/>
      <c r="G25" s="30"/>
      <c r="H25" s="30"/>
      <c r="I25" s="30"/>
      <c r="J25" s="30"/>
      <c r="K25" s="30"/>
      <c r="L25" s="30"/>
      <c r="M25" s="30"/>
      <c r="N25" s="30"/>
      <c r="O25" s="30"/>
      <c r="P25" s="30"/>
      <c r="Q25" s="30"/>
      <c r="R25" s="30"/>
      <c r="S25" s="5"/>
    </row>
    <row r="26" spans="1:19" ht="12.75" outlineLevel="1">
      <c r="A26" s="46" t="s">
        <v>18</v>
      </c>
      <c r="B26" s="29">
        <f aca="true" t="shared" si="8" ref="B26:S26">SUM(B24:B25)</f>
        <v>0</v>
      </c>
      <c r="C26" s="29">
        <f t="shared" si="8"/>
        <v>0</v>
      </c>
      <c r="D26" s="29">
        <f t="shared" si="8"/>
        <v>0</v>
      </c>
      <c r="E26" s="29">
        <f t="shared" si="8"/>
        <v>0</v>
      </c>
      <c r="F26" s="29">
        <f t="shared" si="8"/>
        <v>0</v>
      </c>
      <c r="G26" s="29">
        <f t="shared" si="8"/>
        <v>0</v>
      </c>
      <c r="H26" s="29">
        <f t="shared" si="8"/>
        <v>0</v>
      </c>
      <c r="I26" s="29">
        <f t="shared" si="8"/>
        <v>0</v>
      </c>
      <c r="J26" s="29">
        <f t="shared" si="8"/>
        <v>0</v>
      </c>
      <c r="K26" s="29">
        <f t="shared" si="8"/>
        <v>0</v>
      </c>
      <c r="L26" s="29">
        <f t="shared" si="8"/>
        <v>0</v>
      </c>
      <c r="M26" s="29">
        <f t="shared" si="8"/>
        <v>0</v>
      </c>
      <c r="N26" s="29">
        <f t="shared" si="8"/>
        <v>0</v>
      </c>
      <c r="O26" s="29">
        <f t="shared" si="8"/>
        <v>0</v>
      </c>
      <c r="P26" s="29">
        <f t="shared" si="8"/>
        <v>0</v>
      </c>
      <c r="Q26" s="29">
        <f t="shared" si="8"/>
        <v>0</v>
      </c>
      <c r="R26" s="29">
        <f t="shared" si="8"/>
        <v>0</v>
      </c>
      <c r="S26" s="28">
        <f t="shared" si="8"/>
        <v>0</v>
      </c>
    </row>
    <row r="27" spans="1:19" ht="12.75" outlineLevel="1">
      <c r="A27" s="51" t="s">
        <v>14</v>
      </c>
      <c r="B27" s="35"/>
      <c r="C27" s="35"/>
      <c r="D27" s="35"/>
      <c r="E27" s="35"/>
      <c r="F27" s="35"/>
      <c r="G27" s="35"/>
      <c r="H27" s="35"/>
      <c r="I27" s="35"/>
      <c r="J27" s="35"/>
      <c r="K27" s="35"/>
      <c r="L27" s="35"/>
      <c r="M27" s="35"/>
      <c r="N27" s="35"/>
      <c r="O27" s="35"/>
      <c r="P27" s="35"/>
      <c r="Q27" s="35"/>
      <c r="R27" s="35"/>
      <c r="S27" s="34"/>
    </row>
    <row r="28" spans="1:19" ht="12.75" outlineLevel="1">
      <c r="A28" s="5"/>
      <c r="B28" s="42"/>
      <c r="C28" s="42"/>
      <c r="D28" s="42"/>
      <c r="E28" s="42"/>
      <c r="F28" s="42"/>
      <c r="G28" s="42"/>
      <c r="H28" s="42"/>
      <c r="I28" s="42"/>
      <c r="J28" s="42"/>
      <c r="K28" s="42"/>
      <c r="L28" s="42"/>
      <c r="M28" s="42"/>
      <c r="N28" s="42"/>
      <c r="O28" s="42"/>
      <c r="P28" s="42"/>
      <c r="Q28" s="42"/>
      <c r="R28" s="42"/>
      <c r="S28" s="28"/>
    </row>
    <row r="29" spans="1:19" ht="12.75" outlineLevel="1">
      <c r="A29" s="33" t="s">
        <v>17</v>
      </c>
      <c r="B29" s="32"/>
      <c r="C29" s="32"/>
      <c r="D29" s="32"/>
      <c r="E29" s="32"/>
      <c r="F29" s="32"/>
      <c r="G29" s="32"/>
      <c r="H29" s="32"/>
      <c r="I29" s="32"/>
      <c r="J29" s="32"/>
      <c r="K29" s="32"/>
      <c r="L29" s="32"/>
      <c r="M29" s="32"/>
      <c r="N29" s="32"/>
      <c r="O29" s="32"/>
      <c r="P29" s="32"/>
      <c r="Q29" s="32"/>
      <c r="R29" s="32"/>
      <c r="S29" s="31"/>
    </row>
    <row r="30" spans="1:19" ht="12.75" outlineLevel="1">
      <c r="A30" s="47" t="s">
        <v>12</v>
      </c>
      <c r="B30" s="30"/>
      <c r="C30" s="30"/>
      <c r="D30" s="30"/>
      <c r="E30" s="30"/>
      <c r="F30" s="30"/>
      <c r="G30" s="30"/>
      <c r="H30" s="30"/>
      <c r="I30" s="30"/>
      <c r="J30" s="30"/>
      <c r="K30" s="30"/>
      <c r="L30" s="30"/>
      <c r="M30" s="30"/>
      <c r="N30" s="30"/>
      <c r="O30" s="30"/>
      <c r="P30" s="30"/>
      <c r="Q30" s="30"/>
      <c r="R30" s="30"/>
      <c r="S30" s="5"/>
    </row>
    <row r="31" spans="1:19" ht="25.5" outlineLevel="1">
      <c r="A31" s="47" t="s">
        <v>16</v>
      </c>
      <c r="B31" s="30"/>
      <c r="C31" s="30"/>
      <c r="D31" s="30"/>
      <c r="E31" s="30"/>
      <c r="F31" s="30"/>
      <c r="G31" s="30"/>
      <c r="H31" s="30"/>
      <c r="I31" s="30"/>
      <c r="J31" s="30"/>
      <c r="K31" s="30"/>
      <c r="L31" s="30"/>
      <c r="M31" s="30"/>
      <c r="N31" s="30"/>
      <c r="O31" s="30"/>
      <c r="P31" s="30"/>
      <c r="Q31" s="30"/>
      <c r="R31" s="30"/>
      <c r="S31" s="5"/>
    </row>
    <row r="32" spans="1:19" ht="12.75" outlineLevel="1">
      <c r="A32" s="46" t="s">
        <v>15</v>
      </c>
      <c r="B32" s="29">
        <f aca="true" t="shared" si="9" ref="B32:S32">SUM(B30:B31)</f>
        <v>0</v>
      </c>
      <c r="C32" s="29">
        <f t="shared" si="9"/>
        <v>0</v>
      </c>
      <c r="D32" s="29">
        <f t="shared" si="9"/>
        <v>0</v>
      </c>
      <c r="E32" s="29">
        <f t="shared" si="9"/>
        <v>0</v>
      </c>
      <c r="F32" s="29">
        <f t="shared" si="9"/>
        <v>0</v>
      </c>
      <c r="G32" s="29">
        <f t="shared" si="9"/>
        <v>0</v>
      </c>
      <c r="H32" s="29">
        <f t="shared" si="9"/>
        <v>0</v>
      </c>
      <c r="I32" s="29">
        <f t="shared" si="9"/>
        <v>0</v>
      </c>
      <c r="J32" s="29">
        <f t="shared" si="9"/>
        <v>0</v>
      </c>
      <c r="K32" s="29">
        <f t="shared" si="9"/>
        <v>0</v>
      </c>
      <c r="L32" s="29">
        <f t="shared" si="9"/>
        <v>0</v>
      </c>
      <c r="M32" s="29">
        <f t="shared" si="9"/>
        <v>0</v>
      </c>
      <c r="N32" s="29">
        <f t="shared" si="9"/>
        <v>0</v>
      </c>
      <c r="O32" s="29">
        <f t="shared" si="9"/>
        <v>0</v>
      </c>
      <c r="P32" s="29">
        <f t="shared" si="9"/>
        <v>0</v>
      </c>
      <c r="Q32" s="29">
        <f t="shared" si="9"/>
        <v>0</v>
      </c>
      <c r="R32" s="29">
        <f t="shared" si="9"/>
        <v>0</v>
      </c>
      <c r="S32" s="28">
        <f t="shared" si="9"/>
        <v>0</v>
      </c>
    </row>
    <row r="33" spans="1:19" ht="12.75" outlineLevel="1">
      <c r="A33" s="49" t="s">
        <v>14</v>
      </c>
      <c r="B33" s="27"/>
      <c r="C33" s="27"/>
      <c r="D33" s="27"/>
      <c r="E33" s="27"/>
      <c r="F33" s="27"/>
      <c r="G33" s="27"/>
      <c r="H33" s="27"/>
      <c r="I33" s="27"/>
      <c r="J33" s="27"/>
      <c r="K33" s="27"/>
      <c r="L33" s="27"/>
      <c r="M33" s="27"/>
      <c r="N33" s="27"/>
      <c r="O33" s="27"/>
      <c r="P33" s="27"/>
      <c r="Q33" s="27"/>
      <c r="R33" s="27"/>
      <c r="S33" s="26"/>
    </row>
    <row r="34" spans="1:19" ht="12.75">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c r="C36" s="30"/>
      <c r="D36" s="30"/>
      <c r="E36" s="30"/>
      <c r="F36" s="30"/>
      <c r="G36" s="30"/>
      <c r="H36" s="30"/>
      <c r="I36" s="30"/>
      <c r="J36" s="30"/>
      <c r="K36" s="30"/>
      <c r="L36" s="30"/>
      <c r="M36" s="30"/>
      <c r="N36" s="30"/>
      <c r="O36" s="30"/>
      <c r="P36" s="64">
        <f>5076+525</f>
        <v>5601</v>
      </c>
      <c r="Q36" s="64">
        <f>199+137+5088</f>
        <v>5424</v>
      </c>
      <c r="R36" s="30">
        <v>5813</v>
      </c>
      <c r="S36" s="5">
        <v>6824</v>
      </c>
    </row>
    <row r="37" spans="1:19" ht="25.5">
      <c r="A37" s="47" t="s">
        <v>16</v>
      </c>
      <c r="B37" s="30">
        <f>1027+554</f>
        <v>1581</v>
      </c>
      <c r="C37" s="30">
        <f>831+602</f>
        <v>1433</v>
      </c>
      <c r="D37" s="30">
        <f>822+753</f>
        <v>1575</v>
      </c>
      <c r="E37" s="30">
        <f>1148+621</f>
        <v>1769</v>
      </c>
      <c r="F37" s="30">
        <f>705+643+216</f>
        <v>1564</v>
      </c>
      <c r="G37" s="30">
        <f>738+208+1108</f>
        <v>2054</v>
      </c>
      <c r="H37" s="30">
        <f>332+883</f>
        <v>1215</v>
      </c>
      <c r="I37" s="30">
        <f>229+725</f>
        <v>954</v>
      </c>
      <c r="J37" s="30">
        <f>178+1023</f>
        <v>1201</v>
      </c>
      <c r="K37" s="30">
        <f>187+848</f>
        <v>1035</v>
      </c>
      <c r="L37" s="30">
        <f>168+968</f>
        <v>1136</v>
      </c>
      <c r="M37" s="30">
        <f>191+1139</f>
        <v>1330</v>
      </c>
      <c r="N37" s="30">
        <f>270+1825</f>
        <v>2095</v>
      </c>
      <c r="O37" s="30">
        <f>263+1227</f>
        <v>1490</v>
      </c>
      <c r="P37" s="64">
        <v>20523</v>
      </c>
      <c r="Q37" s="64">
        <v>11509</v>
      </c>
      <c r="R37" s="30">
        <f>3481+204</f>
        <v>3685</v>
      </c>
      <c r="S37" s="5">
        <f>189+1522</f>
        <v>1711</v>
      </c>
    </row>
    <row r="38" spans="1:19" ht="12.75">
      <c r="A38" s="46" t="s">
        <v>18</v>
      </c>
      <c r="B38" s="29">
        <f aca="true" t="shared" si="10" ref="B38:S38">SUM(B36:B37)</f>
        <v>1581</v>
      </c>
      <c r="C38" s="29">
        <f t="shared" si="10"/>
        <v>1433</v>
      </c>
      <c r="D38" s="29">
        <f t="shared" si="10"/>
        <v>1575</v>
      </c>
      <c r="E38" s="29">
        <f t="shared" si="10"/>
        <v>1769</v>
      </c>
      <c r="F38" s="29">
        <f t="shared" si="10"/>
        <v>1564</v>
      </c>
      <c r="G38" s="29">
        <f t="shared" si="10"/>
        <v>2054</v>
      </c>
      <c r="H38" s="29">
        <f t="shared" si="10"/>
        <v>1215</v>
      </c>
      <c r="I38" s="29">
        <f t="shared" si="10"/>
        <v>954</v>
      </c>
      <c r="J38" s="29">
        <f t="shared" si="10"/>
        <v>1201</v>
      </c>
      <c r="K38" s="29">
        <f t="shared" si="10"/>
        <v>1035</v>
      </c>
      <c r="L38" s="29">
        <f t="shared" si="10"/>
        <v>1136</v>
      </c>
      <c r="M38" s="29">
        <f t="shared" si="10"/>
        <v>1330</v>
      </c>
      <c r="N38" s="29">
        <f t="shared" si="10"/>
        <v>2095</v>
      </c>
      <c r="O38" s="29">
        <f t="shared" si="10"/>
        <v>1490</v>
      </c>
      <c r="P38" s="29">
        <f t="shared" si="10"/>
        <v>26124</v>
      </c>
      <c r="Q38" s="29">
        <f t="shared" si="10"/>
        <v>16933</v>
      </c>
      <c r="R38" s="29">
        <f t="shared" si="10"/>
        <v>9498</v>
      </c>
      <c r="S38" s="28">
        <f t="shared" si="10"/>
        <v>8535</v>
      </c>
    </row>
    <row r="39" spans="1:19" ht="12.75">
      <c r="A39" s="51" t="s">
        <v>14</v>
      </c>
      <c r="B39" s="35">
        <f aca="true" t="shared" si="11" ref="B39:S39">B38-B66</f>
        <v>-3113</v>
      </c>
      <c r="C39" s="35">
        <f t="shared" si="11"/>
        <v>-3497</v>
      </c>
      <c r="D39" s="35">
        <f t="shared" si="11"/>
        <v>-4509</v>
      </c>
      <c r="E39" s="35">
        <f t="shared" si="11"/>
        <v>-3385</v>
      </c>
      <c r="F39" s="35">
        <f t="shared" si="11"/>
        <v>-3095</v>
      </c>
      <c r="G39" s="35">
        <f t="shared" si="11"/>
        <v>-3072</v>
      </c>
      <c r="H39" s="35">
        <f t="shared" si="11"/>
        <v>-5217</v>
      </c>
      <c r="I39" s="35">
        <f t="shared" si="11"/>
        <v>-5374</v>
      </c>
      <c r="J39" s="35">
        <f t="shared" si="11"/>
        <v>-3550</v>
      </c>
      <c r="K39" s="35">
        <f t="shared" si="11"/>
        <v>-4598</v>
      </c>
      <c r="L39" s="35">
        <f t="shared" si="11"/>
        <v>-4454</v>
      </c>
      <c r="M39" s="35">
        <f t="shared" si="11"/>
        <v>-5159</v>
      </c>
      <c r="N39" s="35">
        <f t="shared" si="11"/>
        <v>-4215</v>
      </c>
      <c r="O39" s="35">
        <f t="shared" si="11"/>
        <v>-5133</v>
      </c>
      <c r="P39" s="35">
        <f t="shared" si="11"/>
        <v>8490</v>
      </c>
      <c r="Q39" s="35">
        <f t="shared" si="11"/>
        <v>-218</v>
      </c>
      <c r="R39" s="35">
        <f t="shared" si="11"/>
        <v>1398</v>
      </c>
      <c r="S39" s="34">
        <f t="shared" si="11"/>
        <v>75</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c r="E42" s="30"/>
      <c r="F42" s="30"/>
      <c r="G42" s="30"/>
      <c r="H42" s="30"/>
      <c r="I42" s="30"/>
      <c r="J42" s="30"/>
      <c r="K42" s="30"/>
      <c r="L42" s="30"/>
      <c r="M42" s="30"/>
      <c r="N42" s="30"/>
      <c r="O42" s="30"/>
      <c r="P42" s="30"/>
      <c r="Q42" s="30"/>
      <c r="R42" s="30">
        <f>690+522+231</f>
        <v>1443</v>
      </c>
      <c r="S42" s="5">
        <f>196+485+85+862</f>
        <v>1628</v>
      </c>
    </row>
    <row r="43" spans="1:19" ht="25.5">
      <c r="A43" s="47" t="s">
        <v>16</v>
      </c>
      <c r="B43" s="30">
        <f>547+547</f>
        <v>1094</v>
      </c>
      <c r="C43" s="30">
        <f>596+388</f>
        <v>984</v>
      </c>
      <c r="D43" s="30">
        <f>400+558</f>
        <v>958</v>
      </c>
      <c r="E43" s="30">
        <f>324+629</f>
        <v>953</v>
      </c>
      <c r="F43" s="30">
        <f>333+721</f>
        <v>1054</v>
      </c>
      <c r="G43" s="30">
        <f>331+833+53</f>
        <v>1217</v>
      </c>
      <c r="H43" s="64">
        <f>313+409+28</f>
        <v>750</v>
      </c>
      <c r="I43" s="64">
        <f>336+18+428</f>
        <v>782</v>
      </c>
      <c r="J43" s="64">
        <f>18+288+421</f>
        <v>727</v>
      </c>
      <c r="K43" s="64">
        <f>6+245+481</f>
        <v>732</v>
      </c>
      <c r="L43" s="64">
        <f>8+297+618</f>
        <v>923</v>
      </c>
      <c r="M43" s="64">
        <f>10+283+631</f>
        <v>924</v>
      </c>
      <c r="N43" s="64">
        <f>316+563</f>
        <v>879</v>
      </c>
      <c r="O43" s="30">
        <f>382+543+453</f>
        <v>1378</v>
      </c>
      <c r="P43" s="30">
        <v>1750</v>
      </c>
      <c r="Q43" s="30">
        <v>1920</v>
      </c>
      <c r="R43" s="30">
        <f>683+80+1087+485</f>
        <v>2335</v>
      </c>
      <c r="S43" s="5">
        <f>782+187+1191+164</f>
        <v>2324</v>
      </c>
    </row>
    <row r="44" spans="1:19" ht="12.75">
      <c r="A44" s="46" t="s">
        <v>18</v>
      </c>
      <c r="B44" s="29">
        <f aca="true" t="shared" si="12" ref="B44:S44">SUM(B42:B43)</f>
        <v>1094</v>
      </c>
      <c r="C44" s="29">
        <f t="shared" si="12"/>
        <v>984</v>
      </c>
      <c r="D44" s="29">
        <f t="shared" si="12"/>
        <v>958</v>
      </c>
      <c r="E44" s="29">
        <f t="shared" si="12"/>
        <v>953</v>
      </c>
      <c r="F44" s="29">
        <f t="shared" si="12"/>
        <v>1054</v>
      </c>
      <c r="G44" s="29">
        <f t="shared" si="12"/>
        <v>1217</v>
      </c>
      <c r="H44" s="29">
        <f t="shared" si="12"/>
        <v>750</v>
      </c>
      <c r="I44" s="29">
        <f t="shared" si="12"/>
        <v>782</v>
      </c>
      <c r="J44" s="29">
        <f t="shared" si="12"/>
        <v>727</v>
      </c>
      <c r="K44" s="29">
        <f t="shared" si="12"/>
        <v>732</v>
      </c>
      <c r="L44" s="29">
        <f t="shared" si="12"/>
        <v>923</v>
      </c>
      <c r="M44" s="29">
        <f t="shared" si="12"/>
        <v>924</v>
      </c>
      <c r="N44" s="29">
        <f t="shared" si="12"/>
        <v>879</v>
      </c>
      <c r="O44" s="29">
        <f t="shared" si="12"/>
        <v>1378</v>
      </c>
      <c r="P44" s="29">
        <f t="shared" si="12"/>
        <v>1750</v>
      </c>
      <c r="Q44" s="29">
        <f t="shared" si="12"/>
        <v>1920</v>
      </c>
      <c r="R44" s="29">
        <f t="shared" si="12"/>
        <v>3778</v>
      </c>
      <c r="S44" s="28">
        <f t="shared" si="12"/>
        <v>3952</v>
      </c>
    </row>
    <row r="45" spans="1:20" ht="12.75">
      <c r="A45" s="51" t="s">
        <v>14</v>
      </c>
      <c r="B45" s="35">
        <f aca="true" t="shared" si="13" ref="B45:S45">B44-B67</f>
        <v>-994</v>
      </c>
      <c r="C45" s="35">
        <f t="shared" si="13"/>
        <v>-1922</v>
      </c>
      <c r="D45" s="35">
        <f t="shared" si="13"/>
        <v>-2057</v>
      </c>
      <c r="E45" s="35">
        <f t="shared" si="13"/>
        <v>-3196</v>
      </c>
      <c r="F45" s="35">
        <f t="shared" si="13"/>
        <v>-3298</v>
      </c>
      <c r="G45" s="35">
        <f t="shared" si="13"/>
        <v>-3435</v>
      </c>
      <c r="H45" s="35">
        <f t="shared" si="13"/>
        <v>-3666</v>
      </c>
      <c r="I45" s="35">
        <f t="shared" si="13"/>
        <v>-3460</v>
      </c>
      <c r="J45" s="35">
        <f t="shared" si="13"/>
        <v>-3685</v>
      </c>
      <c r="K45" s="35">
        <f t="shared" si="13"/>
        <v>-3902</v>
      </c>
      <c r="L45" s="35">
        <f t="shared" si="13"/>
        <v>-4108</v>
      </c>
      <c r="M45" s="35">
        <f t="shared" si="13"/>
        <v>-4226</v>
      </c>
      <c r="N45" s="35">
        <f t="shared" si="13"/>
        <v>-3928</v>
      </c>
      <c r="O45" s="35">
        <f t="shared" si="13"/>
        <v>-5158</v>
      </c>
      <c r="P45" s="35">
        <f t="shared" si="13"/>
        <v>-5101</v>
      </c>
      <c r="Q45" s="35">
        <f t="shared" si="13"/>
        <v>-5647</v>
      </c>
      <c r="R45" s="35">
        <f t="shared" si="13"/>
        <v>-5502</v>
      </c>
      <c r="S45" s="34">
        <f t="shared" si="13"/>
        <v>-3022</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c r="D48" s="2"/>
      <c r="E48" s="2"/>
      <c r="F48" s="2"/>
      <c r="G48" s="2"/>
      <c r="H48" s="2"/>
      <c r="I48" s="2"/>
      <c r="J48" s="2"/>
      <c r="K48" s="2"/>
      <c r="L48" s="2"/>
      <c r="M48" s="2"/>
      <c r="N48" s="2"/>
      <c r="O48" s="2"/>
      <c r="P48" s="2"/>
      <c r="Q48" s="2"/>
      <c r="R48" s="2">
        <v>356</v>
      </c>
      <c r="S48" s="5">
        <f>558+205+50+300</f>
        <v>1113</v>
      </c>
    </row>
    <row r="49" spans="1:19" ht="25.5">
      <c r="A49" s="47" t="s">
        <v>16</v>
      </c>
      <c r="B49" s="2">
        <f>705+103</f>
        <v>808</v>
      </c>
      <c r="C49" s="2">
        <f>702+851</f>
        <v>1553</v>
      </c>
      <c r="D49" s="2">
        <f>779+465+11</f>
        <v>1255</v>
      </c>
      <c r="E49" s="2">
        <f>1240+100+298+30</f>
        <v>1668</v>
      </c>
      <c r="F49" s="2">
        <f>114+2368+99+8</f>
        <v>2589</v>
      </c>
      <c r="G49" s="2">
        <f>2891+127+9+45</f>
        <v>3072</v>
      </c>
      <c r="H49" s="2">
        <f>448+4955</f>
        <v>5403</v>
      </c>
      <c r="I49" s="30">
        <f>5256+1+572</f>
        <v>5829</v>
      </c>
      <c r="J49" s="2">
        <f>538+3528</f>
        <v>4066</v>
      </c>
      <c r="K49" s="2">
        <f>572+4899</f>
        <v>5471</v>
      </c>
      <c r="L49" s="2">
        <f>591+4061</f>
        <v>4652</v>
      </c>
      <c r="M49" s="2">
        <f>431+6781+568</f>
        <v>7780</v>
      </c>
      <c r="N49" s="2">
        <f>269+7655+592</f>
        <v>8516</v>
      </c>
      <c r="O49" s="2">
        <f>5460</f>
        <v>5460</v>
      </c>
      <c r="P49" s="2"/>
      <c r="Q49" s="2"/>
      <c r="R49" s="2">
        <f>5439+2</f>
        <v>5441</v>
      </c>
      <c r="S49" s="5">
        <f>281+5617</f>
        <v>5898</v>
      </c>
    </row>
    <row r="50" spans="1:19" ht="12.75">
      <c r="A50" s="46" t="s">
        <v>18</v>
      </c>
      <c r="B50" s="29">
        <f aca="true" t="shared" si="14" ref="B50:S50">SUM(B48:B49)</f>
        <v>808</v>
      </c>
      <c r="C50" s="29">
        <f t="shared" si="14"/>
        <v>1553</v>
      </c>
      <c r="D50" s="29">
        <f t="shared" si="14"/>
        <v>1255</v>
      </c>
      <c r="E50" s="29">
        <f t="shared" si="14"/>
        <v>1668</v>
      </c>
      <c r="F50" s="29">
        <f t="shared" si="14"/>
        <v>2589</v>
      </c>
      <c r="G50" s="29">
        <f t="shared" si="14"/>
        <v>3072</v>
      </c>
      <c r="H50" s="29">
        <f t="shared" si="14"/>
        <v>5403</v>
      </c>
      <c r="I50" s="29">
        <f t="shared" si="14"/>
        <v>5829</v>
      </c>
      <c r="J50" s="29">
        <f t="shared" si="14"/>
        <v>4066</v>
      </c>
      <c r="K50" s="29">
        <f t="shared" si="14"/>
        <v>5471</v>
      </c>
      <c r="L50" s="29">
        <f t="shared" si="14"/>
        <v>4652</v>
      </c>
      <c r="M50" s="29">
        <f t="shared" si="14"/>
        <v>7780</v>
      </c>
      <c r="N50" s="29">
        <f t="shared" si="14"/>
        <v>8516</v>
      </c>
      <c r="O50" s="29">
        <f t="shared" si="14"/>
        <v>5460</v>
      </c>
      <c r="P50" s="29">
        <f t="shared" si="14"/>
        <v>0</v>
      </c>
      <c r="Q50" s="29">
        <f t="shared" si="14"/>
        <v>0</v>
      </c>
      <c r="R50" s="29">
        <f t="shared" si="14"/>
        <v>5797</v>
      </c>
      <c r="S50" s="28">
        <f t="shared" si="14"/>
        <v>7011</v>
      </c>
    </row>
    <row r="51" spans="1:19" ht="12.75">
      <c r="A51" s="51" t="s">
        <v>14</v>
      </c>
      <c r="B51" s="35">
        <f>B50-B68+671</f>
        <v>-2744</v>
      </c>
      <c r="C51" s="35">
        <f>C50-C68+3219</f>
        <v>-1288</v>
      </c>
      <c r="D51" s="35">
        <f>D50-D68+303</f>
        <v>-2680</v>
      </c>
      <c r="E51" s="35">
        <f>E50-E68+1411</f>
        <v>-2758</v>
      </c>
      <c r="F51" s="35">
        <f>F50-F68+1895</f>
        <v>-2904</v>
      </c>
      <c r="G51" s="35">
        <f>G50-G68+(714+54+1199+41)</f>
        <v>-2569</v>
      </c>
      <c r="H51" s="94">
        <f aca="true" t="shared" si="15" ref="H51:Q51">H50-H68</f>
        <v>-3576</v>
      </c>
      <c r="I51" s="94">
        <f t="shared" si="15"/>
        <v>-4167</v>
      </c>
      <c r="J51" s="94">
        <f t="shared" si="15"/>
        <v>-4319</v>
      </c>
      <c r="K51" s="94">
        <f t="shared" si="15"/>
        <v>-3994</v>
      </c>
      <c r="L51" s="94">
        <f t="shared" si="15"/>
        <v>-4324</v>
      </c>
      <c r="M51" s="94">
        <f t="shared" si="15"/>
        <v>-3764</v>
      </c>
      <c r="N51" s="94">
        <f t="shared" si="15"/>
        <v>-4013</v>
      </c>
      <c r="O51" s="20">
        <f t="shared" si="15"/>
        <v>-3526</v>
      </c>
      <c r="P51" s="35">
        <f t="shared" si="15"/>
        <v>0</v>
      </c>
      <c r="Q51" s="35">
        <f t="shared" si="15"/>
        <v>0</v>
      </c>
      <c r="R51" s="35">
        <f>R50-R68+2023</f>
        <v>-3204</v>
      </c>
      <c r="S51" s="34">
        <f>S50-S68+3139</f>
        <v>-2562</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16" ref="B54:S54">SUM(B18,B24,B30,B36,B42,B48)</f>
        <v>0</v>
      </c>
      <c r="C54" s="66">
        <f t="shared" si="16"/>
        <v>0</v>
      </c>
      <c r="D54" s="66">
        <f t="shared" si="16"/>
        <v>0</v>
      </c>
      <c r="E54" s="66">
        <f t="shared" si="16"/>
        <v>0</v>
      </c>
      <c r="F54" s="66">
        <f t="shared" si="16"/>
        <v>0</v>
      </c>
      <c r="G54" s="66">
        <f t="shared" si="16"/>
        <v>0</v>
      </c>
      <c r="H54" s="66">
        <f t="shared" si="16"/>
        <v>0</v>
      </c>
      <c r="I54" s="66">
        <f t="shared" si="16"/>
        <v>0</v>
      </c>
      <c r="J54" s="66">
        <f t="shared" si="16"/>
        <v>0</v>
      </c>
      <c r="K54" s="66">
        <f t="shared" si="16"/>
        <v>0</v>
      </c>
      <c r="L54" s="66">
        <f t="shared" si="16"/>
        <v>0</v>
      </c>
      <c r="M54" s="66">
        <f t="shared" si="16"/>
        <v>0</v>
      </c>
      <c r="N54" s="66">
        <f t="shared" si="16"/>
        <v>0</v>
      </c>
      <c r="O54" s="66">
        <f t="shared" si="16"/>
        <v>0</v>
      </c>
      <c r="P54" s="66">
        <f t="shared" si="16"/>
        <v>5601</v>
      </c>
      <c r="Q54" s="66">
        <f t="shared" si="16"/>
        <v>5424</v>
      </c>
      <c r="R54" s="66">
        <f t="shared" si="16"/>
        <v>7612</v>
      </c>
      <c r="S54" s="67">
        <f t="shared" si="16"/>
        <v>9565</v>
      </c>
    </row>
    <row r="55" spans="1:19" ht="12.75">
      <c r="A55" s="53" t="s">
        <v>11</v>
      </c>
      <c r="B55" s="22">
        <f aca="true" t="shared" si="17" ref="B55:S55">SUM(B19,B25,B31,B37,B43,B49)</f>
        <v>3483</v>
      </c>
      <c r="C55" s="22">
        <f t="shared" si="17"/>
        <v>3970</v>
      </c>
      <c r="D55" s="22">
        <f t="shared" si="17"/>
        <v>3788</v>
      </c>
      <c r="E55" s="22">
        <f t="shared" si="17"/>
        <v>4390</v>
      </c>
      <c r="F55" s="22">
        <f t="shared" si="17"/>
        <v>5207</v>
      </c>
      <c r="G55" s="22">
        <f t="shared" si="17"/>
        <v>6343</v>
      </c>
      <c r="H55" s="22">
        <f t="shared" si="17"/>
        <v>7368</v>
      </c>
      <c r="I55" s="22">
        <f t="shared" si="17"/>
        <v>7565</v>
      </c>
      <c r="J55" s="22">
        <f t="shared" si="17"/>
        <v>5994</v>
      </c>
      <c r="K55" s="22">
        <f t="shared" si="17"/>
        <v>7238</v>
      </c>
      <c r="L55" s="22">
        <f t="shared" si="17"/>
        <v>6711</v>
      </c>
      <c r="M55" s="22">
        <f t="shared" si="17"/>
        <v>10034</v>
      </c>
      <c r="N55" s="22">
        <f t="shared" si="17"/>
        <v>11490</v>
      </c>
      <c r="O55" s="22">
        <f t="shared" si="17"/>
        <v>8328</v>
      </c>
      <c r="P55" s="22">
        <f t="shared" si="17"/>
        <v>22273</v>
      </c>
      <c r="Q55" s="22">
        <f t="shared" si="17"/>
        <v>13429</v>
      </c>
      <c r="R55" s="22">
        <f t="shared" si="17"/>
        <v>11461</v>
      </c>
      <c r="S55" s="21">
        <f t="shared" si="17"/>
        <v>9933</v>
      </c>
    </row>
    <row r="56" spans="1:19" ht="25.5">
      <c r="A56" s="54" t="s">
        <v>10</v>
      </c>
      <c r="B56" s="20">
        <f aca="true" t="shared" si="18" ref="B56:S56">SUM(B20,B26,B32,B38,B44,B50)</f>
        <v>3483</v>
      </c>
      <c r="C56" s="20">
        <f t="shared" si="18"/>
        <v>3970</v>
      </c>
      <c r="D56" s="20">
        <f t="shared" si="18"/>
        <v>3788</v>
      </c>
      <c r="E56" s="20">
        <f t="shared" si="18"/>
        <v>4390</v>
      </c>
      <c r="F56" s="20">
        <f t="shared" si="18"/>
        <v>5207</v>
      </c>
      <c r="G56" s="20">
        <f t="shared" si="18"/>
        <v>6343</v>
      </c>
      <c r="H56" s="20">
        <f t="shared" si="18"/>
        <v>7368</v>
      </c>
      <c r="I56" s="20">
        <f t="shared" si="18"/>
        <v>7565</v>
      </c>
      <c r="J56" s="20">
        <f t="shared" si="18"/>
        <v>5994</v>
      </c>
      <c r="K56" s="20">
        <f t="shared" si="18"/>
        <v>7238</v>
      </c>
      <c r="L56" s="20">
        <f t="shared" si="18"/>
        <v>6711</v>
      </c>
      <c r="M56" s="20">
        <f t="shared" si="18"/>
        <v>10034</v>
      </c>
      <c r="N56" s="20">
        <f t="shared" si="18"/>
        <v>11490</v>
      </c>
      <c r="O56" s="20">
        <f t="shared" si="18"/>
        <v>8328</v>
      </c>
      <c r="P56" s="20">
        <f t="shared" si="18"/>
        <v>27874</v>
      </c>
      <c r="Q56" s="20">
        <f t="shared" si="18"/>
        <v>18853</v>
      </c>
      <c r="R56" s="20">
        <f t="shared" si="18"/>
        <v>19073</v>
      </c>
      <c r="S56" s="19">
        <f t="shared" si="18"/>
        <v>19498</v>
      </c>
    </row>
    <row r="57" spans="1:19" ht="12.75">
      <c r="A57" s="55" t="s">
        <v>9</v>
      </c>
      <c r="B57" s="71">
        <f aca="true" t="shared" si="19" ref="B57:S57">SUM(B21,B27,B33,B39,B45,B51)</f>
        <v>-6851</v>
      </c>
      <c r="C57" s="71">
        <f t="shared" si="19"/>
        <v>-6707</v>
      </c>
      <c r="D57" s="71">
        <f t="shared" si="19"/>
        <v>-9246</v>
      </c>
      <c r="E57" s="71">
        <f t="shared" si="19"/>
        <v>-9339</v>
      </c>
      <c r="F57" s="71">
        <f t="shared" si="19"/>
        <v>-9297</v>
      </c>
      <c r="G57" s="71">
        <f t="shared" si="19"/>
        <v>-9076</v>
      </c>
      <c r="H57" s="71">
        <f t="shared" si="19"/>
        <v>-12459</v>
      </c>
      <c r="I57" s="71">
        <f t="shared" si="19"/>
        <v>-13001</v>
      </c>
      <c r="J57" s="71">
        <f t="shared" si="19"/>
        <v>-11554</v>
      </c>
      <c r="K57" s="71">
        <f t="shared" si="19"/>
        <v>-12494</v>
      </c>
      <c r="L57" s="71">
        <f t="shared" si="19"/>
        <v>-12886</v>
      </c>
      <c r="M57" s="71">
        <f t="shared" si="19"/>
        <v>-13149</v>
      </c>
      <c r="N57" s="71">
        <f t="shared" si="19"/>
        <v>-12156</v>
      </c>
      <c r="O57" s="71">
        <f t="shared" si="19"/>
        <v>-13817</v>
      </c>
      <c r="P57" s="71">
        <f t="shared" si="19"/>
        <v>3389</v>
      </c>
      <c r="Q57" s="71">
        <f t="shared" si="19"/>
        <v>-5865</v>
      </c>
      <c r="R57" s="71">
        <f t="shared" si="19"/>
        <v>-7308</v>
      </c>
      <c r="S57" s="18">
        <f t="shared" si="19"/>
        <v>-5509</v>
      </c>
    </row>
    <row r="58" spans="1:19" ht="12.75">
      <c r="A58" s="56" t="s">
        <v>8</v>
      </c>
      <c r="B58" s="17">
        <f aca="true" t="shared" si="20" ref="B58:S58">B59-B55-B15</f>
        <v>2320</v>
      </c>
      <c r="C58" s="17">
        <f t="shared" si="20"/>
        <v>2553</v>
      </c>
      <c r="D58" s="17">
        <f t="shared" si="20"/>
        <v>2351</v>
      </c>
      <c r="E58" s="17">
        <f t="shared" si="20"/>
        <v>2608</v>
      </c>
      <c r="F58" s="17">
        <f t="shared" si="20"/>
        <v>3007</v>
      </c>
      <c r="G58" s="17">
        <f t="shared" si="20"/>
        <v>1877</v>
      </c>
      <c r="H58" s="17">
        <f t="shared" si="20"/>
        <v>2810</v>
      </c>
      <c r="I58" s="17">
        <f t="shared" si="20"/>
        <v>3639</v>
      </c>
      <c r="J58" s="17">
        <f t="shared" si="20"/>
        <v>3700</v>
      </c>
      <c r="K58" s="17">
        <f t="shared" si="20"/>
        <v>2911</v>
      </c>
      <c r="L58" s="17">
        <f t="shared" si="20"/>
        <v>3010</v>
      </c>
      <c r="M58" s="17">
        <f t="shared" si="20"/>
        <v>3128</v>
      </c>
      <c r="N58" s="17">
        <f t="shared" si="20"/>
        <v>3863</v>
      </c>
      <c r="O58" s="17">
        <f t="shared" si="20"/>
        <v>3966</v>
      </c>
      <c r="P58" s="17">
        <f t="shared" si="20"/>
        <v>5247</v>
      </c>
      <c r="Q58" s="17">
        <f t="shared" si="20"/>
        <v>5061</v>
      </c>
      <c r="R58" s="17">
        <f t="shared" si="20"/>
        <v>8680</v>
      </c>
      <c r="S58" s="16">
        <f t="shared" si="20"/>
        <v>7718</v>
      </c>
    </row>
    <row r="59" spans="1:19" ht="12.75">
      <c r="A59" s="57" t="s">
        <v>7</v>
      </c>
      <c r="B59" s="7">
        <v>17042</v>
      </c>
      <c r="C59" s="7">
        <v>17161</v>
      </c>
      <c r="D59" s="7">
        <v>16819</v>
      </c>
      <c r="E59" s="7">
        <v>17800</v>
      </c>
      <c r="F59" s="7">
        <v>19381</v>
      </c>
      <c r="G59" s="7">
        <v>20697</v>
      </c>
      <c r="H59" s="7">
        <v>23086</v>
      </c>
      <c r="I59" s="7">
        <v>24418</v>
      </c>
      <c r="J59" s="7">
        <v>23082</v>
      </c>
      <c r="K59" s="7">
        <v>23426</v>
      </c>
      <c r="L59" s="7">
        <v>23254</v>
      </c>
      <c r="M59" s="7">
        <v>27191</v>
      </c>
      <c r="N59" s="7">
        <v>29405</v>
      </c>
      <c r="O59" s="7">
        <v>29239</v>
      </c>
      <c r="P59" s="7">
        <v>46774</v>
      </c>
      <c r="Q59" s="7">
        <v>36375</v>
      </c>
      <c r="R59" s="7">
        <v>41569</v>
      </c>
      <c r="S59" s="6">
        <v>43408</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c r="C62" s="2"/>
      <c r="D62" s="2"/>
      <c r="E62" s="2"/>
      <c r="F62" s="2"/>
      <c r="G62" s="89">
        <v>578</v>
      </c>
      <c r="H62" s="2">
        <v>137</v>
      </c>
      <c r="I62" s="2">
        <f>106</f>
        <v>106</v>
      </c>
      <c r="J62" s="2">
        <f>101</f>
        <v>101</v>
      </c>
      <c r="K62" s="2">
        <f>90</f>
        <v>90</v>
      </c>
      <c r="L62" s="2">
        <f>132</f>
        <v>132</v>
      </c>
      <c r="M62" s="2">
        <f>194</f>
        <v>194</v>
      </c>
      <c r="N62" s="2">
        <f>417+1121</f>
        <v>1538</v>
      </c>
      <c r="O62" s="2">
        <f>1429+435</f>
        <v>1864</v>
      </c>
      <c r="P62" s="89">
        <v>161</v>
      </c>
      <c r="Q62" s="89">
        <v>3</v>
      </c>
      <c r="R62" s="2">
        <v>852</v>
      </c>
      <c r="S62" s="5">
        <v>976</v>
      </c>
    </row>
    <row r="63" spans="1:19" ht="12.75">
      <c r="A63" s="58" t="s">
        <v>37</v>
      </c>
      <c r="B63" s="15">
        <f>55+234</f>
        <v>289</v>
      </c>
      <c r="C63" s="15">
        <f>208+113</f>
        <v>321</v>
      </c>
      <c r="D63" s="15">
        <f>187+124</f>
        <v>311</v>
      </c>
      <c r="E63" s="15">
        <f>119+92</f>
        <v>211</v>
      </c>
      <c r="F63" s="15">
        <f>142+37</f>
        <v>179</v>
      </c>
      <c r="G63" s="15">
        <f>138+36</f>
        <v>174</v>
      </c>
      <c r="H63" s="15">
        <f>1033+151</f>
        <v>1184</v>
      </c>
      <c r="I63" s="15">
        <f>186+917</f>
        <v>1103</v>
      </c>
      <c r="J63" s="15">
        <f>162+987</f>
        <v>1149</v>
      </c>
      <c r="K63" s="15">
        <f>157+1091</f>
        <v>1248</v>
      </c>
      <c r="L63" s="15">
        <f>313+1212</f>
        <v>1525</v>
      </c>
      <c r="M63" s="15">
        <f>356+1365</f>
        <v>1721</v>
      </c>
      <c r="N63" s="15">
        <f>167+1325</f>
        <v>1492</v>
      </c>
      <c r="O63" s="15">
        <f>70+289+1495</f>
        <v>1854</v>
      </c>
      <c r="P63" s="15">
        <v>2574</v>
      </c>
      <c r="Q63" s="15">
        <v>3208</v>
      </c>
      <c r="R63" s="15">
        <v>3591</v>
      </c>
      <c r="S63" s="14">
        <v>4434</v>
      </c>
    </row>
    <row r="64" spans="1:19" ht="25.5" outlineLevel="1">
      <c r="A64" s="118" t="s">
        <v>52</v>
      </c>
      <c r="B64" s="119"/>
      <c r="C64" s="119"/>
      <c r="D64" s="119"/>
      <c r="E64" s="119"/>
      <c r="F64" s="119"/>
      <c r="G64" s="119"/>
      <c r="H64" s="119"/>
      <c r="I64" s="119"/>
      <c r="J64" s="119"/>
      <c r="K64" s="119"/>
      <c r="L64" s="119"/>
      <c r="M64" s="119"/>
      <c r="N64" s="119"/>
      <c r="O64" s="119"/>
      <c r="P64" s="119"/>
      <c r="Q64" s="119"/>
      <c r="R64" s="119"/>
      <c r="S64" s="122"/>
    </row>
    <row r="65" spans="1:19" ht="12.75" customHeight="1" outlineLevel="1">
      <c r="A65" s="60" t="s">
        <v>5</v>
      </c>
      <c r="B65" s="11"/>
      <c r="C65" s="11"/>
      <c r="D65" s="11"/>
      <c r="E65" s="11"/>
      <c r="F65" s="11"/>
      <c r="G65" s="11"/>
      <c r="H65" s="11"/>
      <c r="I65" s="11"/>
      <c r="J65" s="11"/>
      <c r="K65" s="11"/>
      <c r="L65" s="11"/>
      <c r="M65" s="11"/>
      <c r="N65" s="11"/>
      <c r="O65" s="11"/>
      <c r="P65" s="11"/>
      <c r="Q65" s="11"/>
      <c r="R65" s="11"/>
      <c r="S65" s="10"/>
    </row>
    <row r="66" spans="1:19" ht="12.75">
      <c r="A66" s="118" t="s">
        <v>42</v>
      </c>
      <c r="B66" s="119">
        <f>1355+514+2825</f>
        <v>4694</v>
      </c>
      <c r="C66" s="119">
        <f>1679+295+2956</f>
        <v>4930</v>
      </c>
      <c r="D66" s="119">
        <f>282+1485+4317</f>
        <v>6084</v>
      </c>
      <c r="E66" s="119">
        <f>1571+223+3276+84</f>
        <v>5154</v>
      </c>
      <c r="F66" s="119">
        <f>1058+210+216+3054+121</f>
        <v>4659</v>
      </c>
      <c r="G66" s="119">
        <f>1182+172+208+3564</f>
        <v>5126</v>
      </c>
      <c r="H66" s="119">
        <f>956+5476</f>
        <v>6432</v>
      </c>
      <c r="I66" s="119">
        <f>881+5447</f>
        <v>6328</v>
      </c>
      <c r="J66" s="119">
        <f>510+4241</f>
        <v>4751</v>
      </c>
      <c r="K66" s="119">
        <f>429+5204</f>
        <v>5633</v>
      </c>
      <c r="L66" s="119">
        <f>605+4985</f>
        <v>5590</v>
      </c>
      <c r="M66" s="119">
        <f>618+5871</f>
        <v>6489</v>
      </c>
      <c r="N66" s="119">
        <f>689+5621</f>
        <v>6310</v>
      </c>
      <c r="O66" s="119">
        <f>767+5856</f>
        <v>6623</v>
      </c>
      <c r="P66" s="121">
        <v>17634</v>
      </c>
      <c r="Q66" s="121">
        <v>17151</v>
      </c>
      <c r="R66" s="119">
        <f>17953-R62-(2885+6116)</f>
        <v>8100</v>
      </c>
      <c r="S66" s="122">
        <f>760+7700</f>
        <v>8460</v>
      </c>
    </row>
    <row r="67" spans="1:19" ht="13.5" customHeight="1">
      <c r="A67" s="117" t="s">
        <v>50</v>
      </c>
      <c r="B67" s="120">
        <f>859+345+775+109</f>
        <v>2088</v>
      </c>
      <c r="C67" s="120">
        <f>1356+370+987+193</f>
        <v>2906</v>
      </c>
      <c r="D67" s="120">
        <f>1021+186+331+1477</f>
        <v>3015</v>
      </c>
      <c r="E67" s="120">
        <f>499+177+2992+481</f>
        <v>4149</v>
      </c>
      <c r="F67" s="120">
        <f>640+185+3048+479</f>
        <v>4352</v>
      </c>
      <c r="G67" s="120">
        <f>694+189+2164+384+138+1083</f>
        <v>4652</v>
      </c>
      <c r="H67" s="120">
        <f>638+259+2322+1197</f>
        <v>4416</v>
      </c>
      <c r="I67" s="120">
        <f>867+2076+1299</f>
        <v>4242</v>
      </c>
      <c r="J67" s="120">
        <f>1152+981+2279</f>
        <v>4412</v>
      </c>
      <c r="K67" s="120">
        <f>2250+1328+1056</f>
        <v>4634</v>
      </c>
      <c r="L67" s="120">
        <f>907+1545+2579</f>
        <v>5031</v>
      </c>
      <c r="M67" s="120">
        <f>2637+1522+991</f>
        <v>5150</v>
      </c>
      <c r="N67" s="120">
        <f>1022+1602+2183</f>
        <v>4807</v>
      </c>
      <c r="O67" s="125">
        <f>5247+1289</f>
        <v>6536</v>
      </c>
      <c r="P67" s="125">
        <v>6851</v>
      </c>
      <c r="Q67" s="125">
        <v>7567</v>
      </c>
      <c r="R67" s="120">
        <f>-2023+11303</f>
        <v>9280</v>
      </c>
      <c r="S67" s="123">
        <f>1784+2493+2697</f>
        <v>6974</v>
      </c>
    </row>
    <row r="68" spans="1:19" ht="12.75">
      <c r="A68" s="117" t="s">
        <v>41</v>
      </c>
      <c r="B68" s="119">
        <f>543+128+721+237+1809+785</f>
        <v>4223</v>
      </c>
      <c r="C68" s="119">
        <f>3100+119+1499+92+851+399</f>
        <v>6060</v>
      </c>
      <c r="D68" s="119">
        <f>431+34+772-34+83+1117-337+1423+337+412</f>
        <v>4238</v>
      </c>
      <c r="E68" s="119">
        <f>581+128+702+272+119+728+1690+172+194+1251</f>
        <v>5837</v>
      </c>
      <c r="F68" s="119">
        <f>692+50+1113+40+750+99+99+1+1319+221+2805+199</f>
        <v>7388</v>
      </c>
      <c r="G68" s="119">
        <f>714+54+1199+41+744+77+45+1080+177+3255+263</f>
        <v>7649</v>
      </c>
      <c r="H68" s="119">
        <f>6097+15+2867</f>
        <v>8979</v>
      </c>
      <c r="I68" s="119">
        <f>3421+10+6565</f>
        <v>9996</v>
      </c>
      <c r="J68" s="119">
        <f>3+5189+3193</f>
        <v>8385</v>
      </c>
      <c r="K68" s="119">
        <f>2943+21+6501</f>
        <v>9465</v>
      </c>
      <c r="L68" s="119">
        <f>3215+7+5754</f>
        <v>8976</v>
      </c>
      <c r="M68" s="119">
        <f>5824+2702+6+3012</f>
        <v>11544</v>
      </c>
      <c r="N68" s="119">
        <f>3400+10+9119</f>
        <v>12529</v>
      </c>
      <c r="O68" s="119">
        <f>1706+14+6049+1217</f>
        <v>8986</v>
      </c>
      <c r="P68" s="119"/>
      <c r="Q68" s="119"/>
      <c r="R68" s="119">
        <f>2885+6116+2023</f>
        <v>11024</v>
      </c>
      <c r="S68" s="122">
        <f>3139+3156+6417</f>
        <v>12712</v>
      </c>
    </row>
    <row r="69" spans="1:19" ht="25.5">
      <c r="A69" s="61" t="s">
        <v>4</v>
      </c>
      <c r="B69" s="9">
        <f>B71</f>
        <v>2159</v>
      </c>
      <c r="C69" s="9">
        <f>C71</f>
        <v>1850</v>
      </c>
      <c r="D69" s="9">
        <f>D72</f>
        <v>16473</v>
      </c>
      <c r="E69" s="9">
        <f aca="true" t="shared" si="21" ref="E69:O69">E71</f>
        <v>1450</v>
      </c>
      <c r="F69" s="9">
        <f t="shared" si="21"/>
        <v>1311</v>
      </c>
      <c r="G69" s="9">
        <f t="shared" si="21"/>
        <v>126</v>
      </c>
      <c r="H69" s="9">
        <f t="shared" si="21"/>
        <v>2199</v>
      </c>
      <c r="I69" s="9">
        <f t="shared" si="21"/>
        <v>1890</v>
      </c>
      <c r="J69" s="9">
        <f t="shared" si="21"/>
        <v>1559</v>
      </c>
      <c r="K69" s="9">
        <f t="shared" si="21"/>
        <v>1584</v>
      </c>
      <c r="L69" s="9">
        <f t="shared" si="21"/>
        <v>1702</v>
      </c>
      <c r="M69" s="9">
        <f t="shared" si="21"/>
        <v>1801</v>
      </c>
      <c r="N69" s="9">
        <f t="shared" si="21"/>
        <v>1292</v>
      </c>
      <c r="O69" s="9">
        <f t="shared" si="21"/>
        <v>2995</v>
      </c>
      <c r="P69" s="9">
        <f>34170-SUM(P62:P68)</f>
        <v>6950</v>
      </c>
      <c r="Q69" s="9">
        <f>34077-SUM(Q62:Q68)</f>
        <v>6148</v>
      </c>
      <c r="R69" s="9">
        <f>35407-SUM(R62:R68)</f>
        <v>2560</v>
      </c>
      <c r="S69" s="8">
        <f>39648-SUM(S62:S68)</f>
        <v>6092</v>
      </c>
    </row>
    <row r="70" spans="1:19" ht="12.75">
      <c r="A70" s="61" t="s">
        <v>3</v>
      </c>
      <c r="B70" s="9">
        <v>0</v>
      </c>
      <c r="C70" s="9">
        <v>0</v>
      </c>
      <c r="D70" s="9">
        <v>0</v>
      </c>
      <c r="E70" s="9">
        <v>0</v>
      </c>
      <c r="F70" s="9">
        <v>0</v>
      </c>
      <c r="G70" s="9">
        <v>0</v>
      </c>
      <c r="H70" s="9">
        <v>0</v>
      </c>
      <c r="I70" s="9">
        <v>0</v>
      </c>
      <c r="J70" s="9">
        <v>0</v>
      </c>
      <c r="K70" s="9">
        <v>0</v>
      </c>
      <c r="L70" s="9">
        <v>0</v>
      </c>
      <c r="M70" s="9">
        <v>0</v>
      </c>
      <c r="N70" s="9">
        <v>0</v>
      </c>
      <c r="O70" s="9">
        <v>0</v>
      </c>
      <c r="P70" s="9">
        <f>P72-34170</f>
        <v>-31</v>
      </c>
      <c r="Q70" s="9">
        <f>Q72-34077</f>
        <v>110</v>
      </c>
      <c r="R70" s="9">
        <f>R72-35407</f>
        <v>-33</v>
      </c>
      <c r="S70" s="8">
        <f>S72-39648</f>
        <v>37</v>
      </c>
    </row>
    <row r="71" spans="1:19" ht="38.25">
      <c r="A71" s="47" t="s">
        <v>2</v>
      </c>
      <c r="B71" s="74">
        <f aca="true" t="shared" si="22" ref="B71:S71">B72-SUM(B62:B68)</f>
        <v>2159</v>
      </c>
      <c r="C71" s="74">
        <f t="shared" si="22"/>
        <v>1850</v>
      </c>
      <c r="D71" s="74">
        <f t="shared" si="22"/>
        <v>2825</v>
      </c>
      <c r="E71" s="74">
        <f t="shared" si="22"/>
        <v>1450</v>
      </c>
      <c r="F71" s="74">
        <f t="shared" si="22"/>
        <v>1311</v>
      </c>
      <c r="G71" s="74">
        <f t="shared" si="22"/>
        <v>126</v>
      </c>
      <c r="H71" s="74">
        <f t="shared" si="22"/>
        <v>2199</v>
      </c>
      <c r="I71" s="74">
        <f t="shared" si="22"/>
        <v>1890</v>
      </c>
      <c r="J71" s="74">
        <f t="shared" si="22"/>
        <v>1559</v>
      </c>
      <c r="K71" s="74">
        <f t="shared" si="22"/>
        <v>1584</v>
      </c>
      <c r="L71" s="74">
        <f t="shared" si="22"/>
        <v>1702</v>
      </c>
      <c r="M71" s="74">
        <f t="shared" si="22"/>
        <v>1801</v>
      </c>
      <c r="N71" s="74">
        <f>N72-SUM(N62:N68)</f>
        <v>1292</v>
      </c>
      <c r="O71" s="74">
        <f t="shared" si="22"/>
        <v>2995</v>
      </c>
      <c r="P71" s="74">
        <f t="shared" si="22"/>
        <v>6919</v>
      </c>
      <c r="Q71" s="74">
        <f t="shared" si="22"/>
        <v>6258</v>
      </c>
      <c r="R71" s="74">
        <f t="shared" si="22"/>
        <v>2527</v>
      </c>
      <c r="S71" s="75">
        <f t="shared" si="22"/>
        <v>6129</v>
      </c>
    </row>
    <row r="72" spans="1:19" ht="12.75">
      <c r="A72" s="57" t="s">
        <v>1</v>
      </c>
      <c r="B72" s="7">
        <v>13453</v>
      </c>
      <c r="C72" s="7">
        <v>16067</v>
      </c>
      <c r="D72" s="7">
        <v>16473</v>
      </c>
      <c r="E72" s="7">
        <v>16801</v>
      </c>
      <c r="F72" s="7">
        <v>17889</v>
      </c>
      <c r="G72" s="7">
        <v>18305</v>
      </c>
      <c r="H72" s="7">
        <v>23347</v>
      </c>
      <c r="I72" s="7">
        <f>23665</f>
        <v>23665</v>
      </c>
      <c r="J72" s="7">
        <v>20357</v>
      </c>
      <c r="K72" s="7">
        <v>22654</v>
      </c>
      <c r="L72" s="7">
        <v>22956</v>
      </c>
      <c r="M72" s="7">
        <v>26899</v>
      </c>
      <c r="N72" s="7">
        <v>27968</v>
      </c>
      <c r="O72" s="7">
        <v>28858</v>
      </c>
      <c r="P72" s="7">
        <v>34139</v>
      </c>
      <c r="Q72" s="7">
        <v>34187</v>
      </c>
      <c r="R72" s="7">
        <v>35374</v>
      </c>
      <c r="S72" s="6">
        <v>39685</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31549</v>
      </c>
      <c r="C74" s="4">
        <v>106231</v>
      </c>
      <c r="D74" s="4">
        <v>108530</v>
      </c>
      <c r="E74" s="4">
        <v>112506</v>
      </c>
      <c r="F74" s="4">
        <v>114872</v>
      </c>
      <c r="G74" s="4">
        <v>118101</v>
      </c>
      <c r="H74" s="4">
        <v>121276</v>
      </c>
      <c r="I74" s="4">
        <v>122003</v>
      </c>
      <c r="J74" s="4">
        <v>180590</v>
      </c>
      <c r="K74" s="4">
        <v>192910</v>
      </c>
      <c r="L74" s="4">
        <v>194367</v>
      </c>
      <c r="M74" s="4">
        <v>222619</v>
      </c>
      <c r="N74" s="4">
        <v>231265</v>
      </c>
      <c r="O74" s="4">
        <v>234271</v>
      </c>
      <c r="P74" s="4">
        <v>237410</v>
      </c>
      <c r="Q74" s="4">
        <v>288725</v>
      </c>
      <c r="R74" s="4">
        <v>303835</v>
      </c>
      <c r="S74" s="3">
        <v>307469</v>
      </c>
    </row>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U75"/>
  <sheetViews>
    <sheetView zoomScale="60" zoomScaleNormal="60" zoomScalePageLayoutView="0" workbookViewId="0" topLeftCell="A1">
      <pane xSplit="1" ySplit="2" topLeftCell="B3" activePane="bottomRight" state="frozen"/>
      <selection pane="topLeft" activeCell="M8" sqref="M8"/>
      <selection pane="topRight" activeCell="M8" sqref="M8"/>
      <selection pane="bottomLeft" activeCell="M8" sqref="M8"/>
      <selection pane="bottomRight" activeCell="V5" sqref="V5"/>
    </sheetView>
  </sheetViews>
  <sheetFormatPr defaultColWidth="9.140625" defaultRowHeight="15" outlineLevelRow="1"/>
  <cols>
    <col min="1" max="1" width="32.421875" style="2" customWidth="1"/>
    <col min="2" max="19" width="9.140625" style="1" customWidth="1"/>
    <col min="20" max="20" width="12.421875" style="1" bestFit="1" customWidth="1"/>
    <col min="21" max="16384" width="9.140625" style="1" customWidth="1"/>
  </cols>
  <sheetData>
    <row r="1" spans="1:20" ht="12.75">
      <c r="A1" s="21"/>
      <c r="B1" s="482" t="s">
        <v>219</v>
      </c>
      <c r="C1" s="483"/>
      <c r="D1" s="483"/>
      <c r="E1" s="483"/>
      <c r="F1" s="483"/>
      <c r="G1" s="483"/>
      <c r="H1" s="483"/>
      <c r="I1" s="483"/>
      <c r="J1" s="483"/>
      <c r="K1" s="483"/>
      <c r="L1" s="483"/>
      <c r="M1" s="483"/>
      <c r="N1" s="483"/>
      <c r="O1" s="483"/>
      <c r="P1" s="483"/>
      <c r="Q1" s="483"/>
      <c r="R1" s="483"/>
      <c r="S1" s="483"/>
      <c r="T1" s="484"/>
    </row>
    <row r="2" spans="1:20" ht="12.75">
      <c r="A2" s="43"/>
      <c r="B2" s="143">
        <v>1991</v>
      </c>
      <c r="C2" s="143">
        <v>1992</v>
      </c>
      <c r="D2" s="144">
        <v>1993</v>
      </c>
      <c r="E2" s="143">
        <v>1994</v>
      </c>
      <c r="F2" s="144">
        <v>1995</v>
      </c>
      <c r="G2" s="143">
        <v>1996</v>
      </c>
      <c r="H2" s="143">
        <v>1997</v>
      </c>
      <c r="I2" s="143">
        <v>1998</v>
      </c>
      <c r="J2" s="143">
        <v>1999</v>
      </c>
      <c r="K2" s="143">
        <v>2000</v>
      </c>
      <c r="L2" s="43">
        <v>2001</v>
      </c>
      <c r="M2" s="44">
        <v>2001</v>
      </c>
      <c r="N2" s="44">
        <v>2002</v>
      </c>
      <c r="O2" s="44">
        <v>2003</v>
      </c>
      <c r="P2" s="44">
        <v>2004</v>
      </c>
      <c r="Q2" s="44">
        <v>2005</v>
      </c>
      <c r="R2" s="44">
        <v>2006</v>
      </c>
      <c r="S2" s="44">
        <v>2007</v>
      </c>
      <c r="T2" s="43">
        <v>2008</v>
      </c>
    </row>
    <row r="3" spans="1:20" ht="12.75">
      <c r="A3" s="45" t="s">
        <v>32</v>
      </c>
      <c r="B3" s="143" t="s">
        <v>220</v>
      </c>
      <c r="C3" s="143" t="s">
        <v>220</v>
      </c>
      <c r="D3" s="144" t="s">
        <v>220</v>
      </c>
      <c r="E3" s="143" t="s">
        <v>220</v>
      </c>
      <c r="F3" s="144" t="s">
        <v>220</v>
      </c>
      <c r="G3" s="143" t="s">
        <v>220</v>
      </c>
      <c r="H3" s="143" t="s">
        <v>220</v>
      </c>
      <c r="I3" s="143" t="s">
        <v>220</v>
      </c>
      <c r="J3" s="143" t="s">
        <v>220</v>
      </c>
      <c r="K3" s="143" t="s">
        <v>220</v>
      </c>
      <c r="L3" s="43" t="s">
        <v>220</v>
      </c>
      <c r="M3" s="44" t="s">
        <v>31</v>
      </c>
      <c r="N3" s="44" t="s">
        <v>31</v>
      </c>
      <c r="O3" s="44" t="s">
        <v>31</v>
      </c>
      <c r="P3" s="44" t="s">
        <v>31</v>
      </c>
      <c r="Q3" s="44" t="s">
        <v>31</v>
      </c>
      <c r="R3" s="44" t="s">
        <v>31</v>
      </c>
      <c r="S3" s="44" t="s">
        <v>31</v>
      </c>
      <c r="T3" s="43" t="s">
        <v>31</v>
      </c>
    </row>
    <row r="4" spans="1:20" ht="12.75">
      <c r="A4" s="46" t="s">
        <v>30</v>
      </c>
      <c r="B4" s="2"/>
      <c r="C4" s="2"/>
      <c r="D4" s="2"/>
      <c r="E4" s="2"/>
      <c r="F4" s="2"/>
      <c r="G4" s="2"/>
      <c r="H4" s="2"/>
      <c r="I4" s="2"/>
      <c r="J4" s="2"/>
      <c r="K4" s="2"/>
      <c r="L4" s="5"/>
      <c r="M4" s="42"/>
      <c r="N4" s="42"/>
      <c r="O4" s="42"/>
      <c r="P4" s="42"/>
      <c r="Q4" s="42"/>
      <c r="R4" s="42"/>
      <c r="S4" s="42"/>
      <c r="T4" s="28"/>
    </row>
    <row r="5" spans="1:20" ht="12.75">
      <c r="A5" s="47" t="s">
        <v>29</v>
      </c>
      <c r="B5" s="2"/>
      <c r="C5" s="2"/>
      <c r="D5" s="2">
        <v>10547</v>
      </c>
      <c r="E5" s="2">
        <v>10853</v>
      </c>
      <c r="F5" s="2">
        <v>9492</v>
      </c>
      <c r="G5" s="2">
        <v>10418</v>
      </c>
      <c r="H5" s="2">
        <v>11322</v>
      </c>
      <c r="I5" s="2">
        <v>14057</v>
      </c>
      <c r="J5" s="2">
        <v>13930</v>
      </c>
      <c r="K5" s="2">
        <f>3907+11029</f>
        <v>14936</v>
      </c>
      <c r="L5" s="5">
        <f>4133+11029</f>
        <v>15162</v>
      </c>
      <c r="M5" s="2">
        <f>M15-M13</f>
        <v>18697</v>
      </c>
      <c r="N5" s="2">
        <f aca="true" t="shared" si="0" ref="N5:T5">N15-N13</f>
        <v>19070</v>
      </c>
      <c r="O5" s="2">
        <f t="shared" si="0"/>
        <v>20137</v>
      </c>
      <c r="P5" s="2">
        <f t="shared" si="0"/>
        <v>21814</v>
      </c>
      <c r="Q5" s="2">
        <f t="shared" si="0"/>
        <v>23262</v>
      </c>
      <c r="R5" s="2">
        <f t="shared" si="0"/>
        <v>24757</v>
      </c>
      <c r="S5" s="2">
        <f t="shared" si="0"/>
        <v>26067</v>
      </c>
      <c r="T5" s="5">
        <f t="shared" si="0"/>
        <v>27541</v>
      </c>
    </row>
    <row r="6" spans="1:21" ht="12.75">
      <c r="A6" s="47" t="s">
        <v>28</v>
      </c>
      <c r="B6" s="2"/>
      <c r="C6" s="2"/>
      <c r="D6" s="2"/>
      <c r="E6" s="2"/>
      <c r="F6" s="2"/>
      <c r="G6" s="2"/>
      <c r="H6" s="2"/>
      <c r="I6" s="2"/>
      <c r="J6" s="2"/>
      <c r="K6" s="2"/>
      <c r="L6" s="5"/>
      <c r="M6" s="2"/>
      <c r="N6" s="2"/>
      <c r="O6" s="2"/>
      <c r="P6" s="2"/>
      <c r="Q6" s="2"/>
      <c r="R6" s="2"/>
      <c r="S6" s="2"/>
      <c r="T6" s="5"/>
      <c r="U6" s="145"/>
    </row>
    <row r="7" spans="1:20" ht="12.75">
      <c r="A7" s="47" t="s">
        <v>27</v>
      </c>
      <c r="B7" s="2"/>
      <c r="C7" s="2"/>
      <c r="D7" s="2">
        <f aca="true" t="shared" si="1" ref="D7:K7">D18</f>
        <v>1128</v>
      </c>
      <c r="E7" s="2">
        <f t="shared" si="1"/>
        <v>1328</v>
      </c>
      <c r="F7" s="2">
        <f t="shared" si="1"/>
        <v>1812</v>
      </c>
      <c r="G7" s="2">
        <f t="shared" si="1"/>
        <v>1939</v>
      </c>
      <c r="H7" s="2">
        <f t="shared" si="1"/>
        <v>2333</v>
      </c>
      <c r="I7" s="2">
        <f t="shared" si="1"/>
        <v>3343</v>
      </c>
      <c r="J7" s="2">
        <f t="shared" si="1"/>
        <v>3627</v>
      </c>
      <c r="K7" s="2">
        <f t="shared" si="1"/>
        <v>3101</v>
      </c>
      <c r="L7" s="5">
        <f>L18</f>
        <v>3108</v>
      </c>
      <c r="M7" s="2">
        <v>3108</v>
      </c>
      <c r="N7" s="2">
        <v>3365</v>
      </c>
      <c r="O7" s="2">
        <v>3411</v>
      </c>
      <c r="P7" s="2">
        <v>5271</v>
      </c>
      <c r="Q7" s="2">
        <v>5465</v>
      </c>
      <c r="R7" s="2">
        <v>5937</v>
      </c>
      <c r="S7" s="2">
        <v>6398</v>
      </c>
      <c r="T7" s="5">
        <v>7188</v>
      </c>
    </row>
    <row r="8" spans="1:20" ht="12.75">
      <c r="A8" s="47" t="s">
        <v>26</v>
      </c>
      <c r="B8" s="2"/>
      <c r="C8" s="2"/>
      <c r="D8" s="2">
        <f>D24</f>
        <v>1086</v>
      </c>
      <c r="E8" s="2">
        <f aca="true" t="shared" si="2" ref="E8:L8">E24</f>
        <v>1348</v>
      </c>
      <c r="F8" s="2">
        <f t="shared" si="2"/>
        <v>1284</v>
      </c>
      <c r="G8" s="2">
        <f t="shared" si="2"/>
        <v>1705</v>
      </c>
      <c r="H8" s="2">
        <f t="shared" si="2"/>
        <v>1918</v>
      </c>
      <c r="I8" s="2">
        <f t="shared" si="2"/>
        <v>2627</v>
      </c>
      <c r="J8" s="2">
        <f t="shared" si="2"/>
        <v>3011</v>
      </c>
      <c r="K8" s="2">
        <f t="shared" si="2"/>
        <v>3242</v>
      </c>
      <c r="L8" s="5">
        <f t="shared" si="2"/>
        <v>2643</v>
      </c>
      <c r="M8" s="2">
        <v>2643</v>
      </c>
      <c r="N8" s="2">
        <v>2320</v>
      </c>
      <c r="O8" s="2">
        <v>2528</v>
      </c>
      <c r="P8" s="2">
        <v>3363</v>
      </c>
      <c r="Q8" s="2">
        <v>3965</v>
      </c>
      <c r="R8" s="2">
        <v>4277</v>
      </c>
      <c r="S8" s="2">
        <v>4492</v>
      </c>
      <c r="T8" s="5">
        <v>5063</v>
      </c>
    </row>
    <row r="9" spans="1:20" ht="12.75">
      <c r="A9" s="59" t="s">
        <v>35</v>
      </c>
      <c r="B9" s="78">
        <f aca="true" t="shared" si="3" ref="B9:K9">B36</f>
        <v>0</v>
      </c>
      <c r="C9" s="78">
        <f t="shared" si="3"/>
        <v>0</v>
      </c>
      <c r="D9" s="78">
        <f t="shared" si="3"/>
        <v>0</v>
      </c>
      <c r="E9" s="78">
        <f t="shared" si="3"/>
        <v>1614</v>
      </c>
      <c r="F9" s="13">
        <f t="shared" si="3"/>
        <v>2554</v>
      </c>
      <c r="G9" s="13">
        <f t="shared" si="3"/>
        <v>0</v>
      </c>
      <c r="H9" s="13">
        <f t="shared" si="3"/>
        <v>0</v>
      </c>
      <c r="I9" s="13">
        <f t="shared" si="3"/>
        <v>0</v>
      </c>
      <c r="J9" s="13">
        <f t="shared" si="3"/>
        <v>0</v>
      </c>
      <c r="K9" s="13">
        <f t="shared" si="3"/>
        <v>0</v>
      </c>
      <c r="L9" s="12"/>
      <c r="M9" s="13">
        <f aca="true" t="shared" si="4" ref="M9:T9">M36</f>
        <v>0</v>
      </c>
      <c r="N9" s="13">
        <f t="shared" si="4"/>
        <v>0</v>
      </c>
      <c r="O9" s="13">
        <f t="shared" si="4"/>
        <v>0</v>
      </c>
      <c r="P9" s="13">
        <f t="shared" si="4"/>
        <v>0</v>
      </c>
      <c r="Q9" s="13">
        <f t="shared" si="4"/>
        <v>0</v>
      </c>
      <c r="R9" s="13">
        <f t="shared" si="4"/>
        <v>0</v>
      </c>
      <c r="S9" s="167">
        <f t="shared" si="4"/>
        <v>0</v>
      </c>
      <c r="T9" s="12">
        <f t="shared" si="4"/>
        <v>0</v>
      </c>
    </row>
    <row r="10" spans="1:20" ht="12.75">
      <c r="A10" s="59" t="s">
        <v>43</v>
      </c>
      <c r="B10" s="78">
        <f aca="true" t="shared" si="5" ref="B10:K10">B48</f>
        <v>0</v>
      </c>
      <c r="C10" s="78">
        <f t="shared" si="5"/>
        <v>0</v>
      </c>
      <c r="D10" s="78">
        <f t="shared" si="5"/>
        <v>0</v>
      </c>
      <c r="E10" s="78">
        <f t="shared" si="5"/>
        <v>131</v>
      </c>
      <c r="F10" s="13">
        <f t="shared" si="5"/>
        <v>153</v>
      </c>
      <c r="G10" s="13">
        <f t="shared" si="5"/>
        <v>0</v>
      </c>
      <c r="H10" s="13">
        <f t="shared" si="5"/>
        <v>0</v>
      </c>
      <c r="I10" s="13">
        <f t="shared" si="5"/>
        <v>0</v>
      </c>
      <c r="J10" s="13">
        <f t="shared" si="5"/>
        <v>0</v>
      </c>
      <c r="K10" s="13">
        <f t="shared" si="5"/>
        <v>0</v>
      </c>
      <c r="L10" s="12"/>
      <c r="M10" s="13">
        <f aca="true" t="shared" si="6" ref="M10:T10">M48</f>
        <v>0</v>
      </c>
      <c r="N10" s="13">
        <f t="shared" si="6"/>
        <v>0</v>
      </c>
      <c r="O10" s="13">
        <f t="shared" si="6"/>
        <v>0</v>
      </c>
      <c r="P10" s="13">
        <f t="shared" si="6"/>
        <v>0</v>
      </c>
      <c r="Q10" s="13">
        <f t="shared" si="6"/>
        <v>0</v>
      </c>
      <c r="R10" s="13">
        <f t="shared" si="6"/>
        <v>0</v>
      </c>
      <c r="S10" s="167">
        <f t="shared" si="6"/>
        <v>0</v>
      </c>
      <c r="T10" s="12">
        <f t="shared" si="6"/>
        <v>0</v>
      </c>
    </row>
    <row r="11" spans="1:20" ht="12.75">
      <c r="A11" s="59" t="s">
        <v>44</v>
      </c>
      <c r="B11" s="78">
        <f aca="true" t="shared" si="7" ref="B11:K11">B42</f>
        <v>0</v>
      </c>
      <c r="C11" s="78">
        <f t="shared" si="7"/>
        <v>0</v>
      </c>
      <c r="D11" s="78">
        <f t="shared" si="7"/>
        <v>0</v>
      </c>
      <c r="E11" s="78">
        <f t="shared" si="7"/>
        <v>0</v>
      </c>
      <c r="F11" s="13">
        <f t="shared" si="7"/>
        <v>598</v>
      </c>
      <c r="G11" s="13">
        <f t="shared" si="7"/>
        <v>0</v>
      </c>
      <c r="H11" s="13">
        <f t="shared" si="7"/>
        <v>0</v>
      </c>
      <c r="I11" s="13">
        <f t="shared" si="7"/>
        <v>0</v>
      </c>
      <c r="J11" s="13">
        <f t="shared" si="7"/>
        <v>0</v>
      </c>
      <c r="K11" s="13">
        <f t="shared" si="7"/>
        <v>0</v>
      </c>
      <c r="L11" s="12"/>
      <c r="M11" s="13">
        <f aca="true" t="shared" si="8" ref="M11:T11">M42</f>
        <v>0</v>
      </c>
      <c r="N11" s="13">
        <f t="shared" si="8"/>
        <v>0</v>
      </c>
      <c r="O11" s="13">
        <f t="shared" si="8"/>
        <v>0</v>
      </c>
      <c r="P11" s="13">
        <f t="shared" si="8"/>
        <v>0</v>
      </c>
      <c r="Q11" s="13">
        <f t="shared" si="8"/>
        <v>0</v>
      </c>
      <c r="R11" s="13">
        <f t="shared" si="8"/>
        <v>0</v>
      </c>
      <c r="S11" s="167">
        <f t="shared" si="8"/>
        <v>0</v>
      </c>
      <c r="T11" s="12">
        <f t="shared" si="8"/>
        <v>0</v>
      </c>
    </row>
    <row r="12" spans="1:20" ht="12.75">
      <c r="A12" s="47" t="s">
        <v>25</v>
      </c>
      <c r="B12" s="2"/>
      <c r="C12" s="2"/>
      <c r="D12" s="2">
        <f>D30</f>
        <v>413</v>
      </c>
      <c r="E12" s="2">
        <f aca="true" t="shared" si="9" ref="E12:L12">E30</f>
        <v>460</v>
      </c>
      <c r="F12" s="2">
        <f t="shared" si="9"/>
        <v>0</v>
      </c>
      <c r="G12" s="2">
        <f>G30</f>
        <v>0</v>
      </c>
      <c r="H12" s="2">
        <f t="shared" si="9"/>
        <v>0</v>
      </c>
      <c r="I12" s="2">
        <f t="shared" si="9"/>
        <v>0</v>
      </c>
      <c r="J12" s="2">
        <f>J30</f>
        <v>1145</v>
      </c>
      <c r="K12" s="2">
        <f t="shared" si="9"/>
        <v>1370</v>
      </c>
      <c r="L12" s="5">
        <f t="shared" si="9"/>
        <v>1396</v>
      </c>
      <c r="M12" s="2">
        <v>1396</v>
      </c>
      <c r="N12" s="2">
        <v>1408</v>
      </c>
      <c r="O12" s="2">
        <v>1472</v>
      </c>
      <c r="P12" s="2">
        <v>1532</v>
      </c>
      <c r="Q12" s="2">
        <v>1697</v>
      </c>
      <c r="R12" s="2">
        <v>1691</v>
      </c>
      <c r="S12" s="2">
        <v>1749</v>
      </c>
      <c r="T12" s="5">
        <v>1847</v>
      </c>
    </row>
    <row r="13" spans="1:20" ht="12.75">
      <c r="A13" s="46" t="s">
        <v>24</v>
      </c>
      <c r="B13" s="42"/>
      <c r="C13" s="42"/>
      <c r="D13" s="42">
        <v>5183</v>
      </c>
      <c r="E13" s="42">
        <v>5678</v>
      </c>
      <c r="F13" s="42">
        <v>8102</v>
      </c>
      <c r="G13" s="42">
        <v>9687</v>
      </c>
      <c r="H13" s="42">
        <v>11044</v>
      </c>
      <c r="I13" s="42">
        <v>10115</v>
      </c>
      <c r="J13" s="42">
        <v>10923</v>
      </c>
      <c r="K13" s="42">
        <v>10305</v>
      </c>
      <c r="L13" s="28">
        <v>9720</v>
      </c>
      <c r="M13" s="29">
        <f>SUM(M6:M12)</f>
        <v>7147</v>
      </c>
      <c r="N13" s="29">
        <f aca="true" t="shared" si="10" ref="N13:T13">SUM(N6:N12)</f>
        <v>7093</v>
      </c>
      <c r="O13" s="29">
        <f t="shared" si="10"/>
        <v>7411</v>
      </c>
      <c r="P13" s="29">
        <f t="shared" si="10"/>
        <v>10166</v>
      </c>
      <c r="Q13" s="29">
        <f t="shared" si="10"/>
        <v>11127</v>
      </c>
      <c r="R13" s="29">
        <f t="shared" si="10"/>
        <v>11905</v>
      </c>
      <c r="S13" s="29">
        <f t="shared" si="10"/>
        <v>12639</v>
      </c>
      <c r="T13" s="28">
        <f t="shared" si="10"/>
        <v>14098</v>
      </c>
    </row>
    <row r="14" spans="1:20" ht="12.75">
      <c r="A14" s="47" t="s">
        <v>23</v>
      </c>
      <c r="B14" s="2"/>
      <c r="C14" s="2"/>
      <c r="D14" s="2"/>
      <c r="E14" s="2"/>
      <c r="F14" s="42"/>
      <c r="G14" s="2"/>
      <c r="H14" s="2"/>
      <c r="I14" s="2"/>
      <c r="J14" s="2">
        <f>J15-J13-J5</f>
        <v>0</v>
      </c>
      <c r="K14" s="2">
        <f>K15-K13-K5</f>
        <v>423</v>
      </c>
      <c r="L14" s="5">
        <f>L15-L13-L5</f>
        <v>962</v>
      </c>
      <c r="M14" s="2"/>
      <c r="N14" s="2"/>
      <c r="O14" s="2"/>
      <c r="P14" s="2"/>
      <c r="Q14" s="2"/>
      <c r="R14" s="2"/>
      <c r="S14" s="2"/>
      <c r="T14" s="5"/>
    </row>
    <row r="15" spans="1:20" ht="12.75">
      <c r="A15" s="48" t="s">
        <v>22</v>
      </c>
      <c r="B15" s="146"/>
      <c r="C15" s="146"/>
      <c r="D15" s="146">
        <f aca="true" t="shared" si="11" ref="D15:J15">D5+D13</f>
        <v>15730</v>
      </c>
      <c r="E15" s="146">
        <f t="shared" si="11"/>
        <v>16531</v>
      </c>
      <c r="F15" s="146">
        <f t="shared" si="11"/>
        <v>17594</v>
      </c>
      <c r="G15" s="146">
        <f t="shared" si="11"/>
        <v>20105</v>
      </c>
      <c r="H15" s="146">
        <f t="shared" si="11"/>
        <v>22366</v>
      </c>
      <c r="I15" s="146">
        <f t="shared" si="11"/>
        <v>24172</v>
      </c>
      <c r="J15" s="146">
        <f t="shared" si="11"/>
        <v>24853</v>
      </c>
      <c r="K15" s="146">
        <v>25664</v>
      </c>
      <c r="L15" s="147">
        <v>25844</v>
      </c>
      <c r="M15" s="17">
        <v>25844</v>
      </c>
      <c r="N15" s="17">
        <v>26163</v>
      </c>
      <c r="O15" s="17">
        <v>27548</v>
      </c>
      <c r="P15" s="17">
        <v>31980</v>
      </c>
      <c r="Q15" s="17">
        <v>34389</v>
      </c>
      <c r="R15" s="17">
        <v>36662</v>
      </c>
      <c r="S15" s="17">
        <v>38706</v>
      </c>
      <c r="T15" s="16">
        <v>41639</v>
      </c>
    </row>
    <row r="16" spans="1:20" ht="12.75">
      <c r="A16" s="5"/>
      <c r="B16" s="2"/>
      <c r="C16" s="2"/>
      <c r="D16" s="2"/>
      <c r="E16" s="2"/>
      <c r="F16" s="42"/>
      <c r="G16" s="2"/>
      <c r="H16" s="2"/>
      <c r="I16" s="2"/>
      <c r="J16" s="2"/>
      <c r="K16" s="2"/>
      <c r="L16" s="5"/>
      <c r="M16" s="42"/>
      <c r="N16" s="42"/>
      <c r="O16" s="42"/>
      <c r="P16" s="42"/>
      <c r="Q16" s="42"/>
      <c r="R16" s="42"/>
      <c r="S16" s="42"/>
      <c r="T16" s="28"/>
    </row>
    <row r="17" spans="1:20" ht="12.75" outlineLevel="1">
      <c r="A17" s="41" t="s">
        <v>21</v>
      </c>
      <c r="B17" s="11"/>
      <c r="C17" s="11"/>
      <c r="D17" s="11"/>
      <c r="E17" s="11"/>
      <c r="F17" s="40"/>
      <c r="G17" s="11"/>
      <c r="H17" s="11"/>
      <c r="I17" s="11"/>
      <c r="J17" s="11"/>
      <c r="K17" s="11"/>
      <c r="L17" s="10"/>
      <c r="M17" s="40"/>
      <c r="N17" s="40"/>
      <c r="O17" s="40"/>
      <c r="P17" s="40"/>
      <c r="Q17" s="40"/>
      <c r="R17" s="40"/>
      <c r="S17" s="40"/>
      <c r="T17" s="39"/>
    </row>
    <row r="18" spans="1:20" ht="12.75" outlineLevel="1">
      <c r="A18" s="47" t="s">
        <v>12</v>
      </c>
      <c r="B18" s="2"/>
      <c r="C18" s="2"/>
      <c r="D18" s="2">
        <v>1128</v>
      </c>
      <c r="E18" s="2">
        <v>1328</v>
      </c>
      <c r="F18" s="148">
        <v>1812</v>
      </c>
      <c r="G18" s="148">
        <v>1939</v>
      </c>
      <c r="H18" s="148">
        <v>2333</v>
      </c>
      <c r="I18" s="148">
        <v>3343</v>
      </c>
      <c r="J18" s="148">
        <v>3627</v>
      </c>
      <c r="K18" s="2">
        <v>3101</v>
      </c>
      <c r="L18" s="5">
        <v>3108</v>
      </c>
      <c r="M18" s="66">
        <f>M7</f>
        <v>3108</v>
      </c>
      <c r="N18" s="66">
        <f aca="true" t="shared" si="12" ref="N18:T18">N7</f>
        <v>3365</v>
      </c>
      <c r="O18" s="66">
        <f t="shared" si="12"/>
        <v>3411</v>
      </c>
      <c r="P18" s="66">
        <f t="shared" si="12"/>
        <v>5271</v>
      </c>
      <c r="Q18" s="66">
        <f t="shared" si="12"/>
        <v>5465</v>
      </c>
      <c r="R18" s="66">
        <f t="shared" si="12"/>
        <v>5937</v>
      </c>
      <c r="S18" s="66">
        <f t="shared" si="12"/>
        <v>6398</v>
      </c>
      <c r="T18" s="67">
        <f t="shared" si="12"/>
        <v>7188</v>
      </c>
    </row>
    <row r="19" spans="1:20" ht="25.5" outlineLevel="1">
      <c r="A19" s="47" t="s">
        <v>16</v>
      </c>
      <c r="B19" s="2"/>
      <c r="C19" s="2"/>
      <c r="D19" s="2">
        <v>304</v>
      </c>
      <c r="E19" s="2">
        <v>362</v>
      </c>
      <c r="F19" s="42"/>
      <c r="G19" s="2"/>
      <c r="H19" s="2"/>
      <c r="I19" s="2"/>
      <c r="J19" s="2"/>
      <c r="K19" s="2">
        <f>3275-K18</f>
        <v>174</v>
      </c>
      <c r="L19" s="5">
        <f>3214-L18</f>
        <v>106</v>
      </c>
      <c r="M19" s="30">
        <v>414</v>
      </c>
      <c r="N19" s="30">
        <v>215</v>
      </c>
      <c r="O19" s="30">
        <v>315</v>
      </c>
      <c r="P19" s="30">
        <v>1427</v>
      </c>
      <c r="Q19" s="30">
        <v>2128</v>
      </c>
      <c r="R19" s="30">
        <v>2128</v>
      </c>
      <c r="S19" s="30">
        <v>941</v>
      </c>
      <c r="T19" s="5">
        <v>2268</v>
      </c>
    </row>
    <row r="20" spans="1:20" ht="25.5" outlineLevel="1">
      <c r="A20" s="46" t="s">
        <v>20</v>
      </c>
      <c r="B20" s="29">
        <f aca="true" t="shared" si="13" ref="B20:T20">SUM(B18:B19)</f>
        <v>0</v>
      </c>
      <c r="C20" s="29">
        <f t="shared" si="13"/>
        <v>0</v>
      </c>
      <c r="D20" s="29">
        <f t="shared" si="13"/>
        <v>1432</v>
      </c>
      <c r="E20" s="29">
        <f t="shared" si="13"/>
        <v>1690</v>
      </c>
      <c r="F20" s="29">
        <f t="shared" si="13"/>
        <v>1812</v>
      </c>
      <c r="G20" s="29">
        <f t="shared" si="13"/>
        <v>1939</v>
      </c>
      <c r="H20" s="29">
        <f t="shared" si="13"/>
        <v>2333</v>
      </c>
      <c r="I20" s="29">
        <f t="shared" si="13"/>
        <v>3343</v>
      </c>
      <c r="J20" s="29">
        <f t="shared" si="13"/>
        <v>3627</v>
      </c>
      <c r="K20" s="29">
        <f t="shared" si="13"/>
        <v>3275</v>
      </c>
      <c r="L20" s="28">
        <f t="shared" si="13"/>
        <v>3214</v>
      </c>
      <c r="M20" s="29">
        <f t="shared" si="13"/>
        <v>3522</v>
      </c>
      <c r="N20" s="29">
        <f t="shared" si="13"/>
        <v>3580</v>
      </c>
      <c r="O20" s="29">
        <f t="shared" si="13"/>
        <v>3726</v>
      </c>
      <c r="P20" s="29">
        <f t="shared" si="13"/>
        <v>6698</v>
      </c>
      <c r="Q20" s="29">
        <f t="shared" si="13"/>
        <v>7593</v>
      </c>
      <c r="R20" s="29">
        <f t="shared" si="13"/>
        <v>8065</v>
      </c>
      <c r="S20" s="29">
        <f t="shared" si="13"/>
        <v>7339</v>
      </c>
      <c r="T20" s="28">
        <f t="shared" si="13"/>
        <v>9456</v>
      </c>
    </row>
    <row r="21" spans="1:20" ht="12.75" outlineLevel="1">
      <c r="A21" s="49" t="s">
        <v>14</v>
      </c>
      <c r="B21" s="149"/>
      <c r="C21" s="149"/>
      <c r="D21" s="150">
        <f>D20-E65</f>
        <v>-941</v>
      </c>
      <c r="E21" s="150">
        <f aca="true" t="shared" si="14" ref="E21:K21">E20-E65</f>
        <v>-683</v>
      </c>
      <c r="F21" s="150">
        <f t="shared" si="14"/>
        <v>-687</v>
      </c>
      <c r="G21" s="150">
        <f t="shared" si="14"/>
        <v>-771</v>
      </c>
      <c r="H21" s="150">
        <f t="shared" si="14"/>
        <v>-716</v>
      </c>
      <c r="I21" s="150">
        <f t="shared" si="14"/>
        <v>-382</v>
      </c>
      <c r="J21" s="150">
        <f t="shared" si="14"/>
        <v>1445</v>
      </c>
      <c r="K21" s="150">
        <f t="shared" si="14"/>
        <v>1360</v>
      </c>
      <c r="L21" s="151">
        <f>L20-L65</f>
        <v>1166</v>
      </c>
      <c r="M21" s="27">
        <f>M20-M65</f>
        <v>1474</v>
      </c>
      <c r="N21" s="27">
        <f>N20-N65</f>
        <v>1375</v>
      </c>
      <c r="O21" s="27">
        <f aca="true" t="shared" si="15" ref="O21:T21">O20-O65</f>
        <v>1322</v>
      </c>
      <c r="P21" s="27">
        <f t="shared" si="15"/>
        <v>4103</v>
      </c>
      <c r="Q21" s="27">
        <f t="shared" si="15"/>
        <v>4630</v>
      </c>
      <c r="R21" s="27">
        <f t="shared" si="15"/>
        <v>3961</v>
      </c>
      <c r="S21" s="27">
        <f t="shared" si="15"/>
        <v>3294</v>
      </c>
      <c r="T21" s="26">
        <f t="shared" si="15"/>
        <v>3488</v>
      </c>
    </row>
    <row r="22" spans="1:20" ht="12.75" outlineLevel="1">
      <c r="A22" s="50"/>
      <c r="B22" s="149"/>
      <c r="C22" s="149"/>
      <c r="D22" s="150"/>
      <c r="E22" s="150"/>
      <c r="F22" s="150"/>
      <c r="G22" s="150"/>
      <c r="H22" s="150"/>
      <c r="I22" s="150"/>
      <c r="J22" s="150"/>
      <c r="K22" s="150"/>
      <c r="L22" s="151"/>
      <c r="M22" s="2"/>
      <c r="N22" s="2"/>
      <c r="O22" s="2"/>
      <c r="P22" s="2"/>
      <c r="Q22" s="2"/>
      <c r="R22" s="2"/>
      <c r="S22" s="2"/>
      <c r="T22" s="5"/>
    </row>
    <row r="23" spans="1:20" ht="12.75" outlineLevel="1">
      <c r="A23" s="38" t="s">
        <v>19</v>
      </c>
      <c r="B23" s="82"/>
      <c r="C23" s="82"/>
      <c r="D23" s="82"/>
      <c r="E23" s="82"/>
      <c r="F23" s="82"/>
      <c r="G23" s="82"/>
      <c r="H23" s="82"/>
      <c r="I23" s="82"/>
      <c r="J23" s="82"/>
      <c r="K23" s="82"/>
      <c r="L23" s="83"/>
      <c r="M23" s="37"/>
      <c r="N23" s="37"/>
      <c r="O23" s="37"/>
      <c r="P23" s="37"/>
      <c r="Q23" s="37"/>
      <c r="R23" s="37"/>
      <c r="S23" s="37"/>
      <c r="T23" s="36"/>
    </row>
    <row r="24" spans="1:20" ht="12.75" outlineLevel="1">
      <c r="A24" s="47" t="s">
        <v>12</v>
      </c>
      <c r="B24" s="2"/>
      <c r="C24" s="2"/>
      <c r="D24" s="2">
        <v>1086</v>
      </c>
      <c r="E24" s="2">
        <v>1348</v>
      </c>
      <c r="F24" s="148">
        <f>803+418+63</f>
        <v>1284</v>
      </c>
      <c r="G24" s="148">
        <f>1093+533+79</f>
        <v>1705</v>
      </c>
      <c r="H24" s="148">
        <f>135+544+1239</f>
        <v>1918</v>
      </c>
      <c r="I24" s="148">
        <f>1683+771+173</f>
        <v>2627</v>
      </c>
      <c r="J24" s="148">
        <v>3011</v>
      </c>
      <c r="K24" s="2">
        <v>3242</v>
      </c>
      <c r="L24" s="5">
        <v>2643</v>
      </c>
      <c r="M24" s="30">
        <f>M8</f>
        <v>2643</v>
      </c>
      <c r="N24" s="30">
        <f aca="true" t="shared" si="16" ref="N24:T24">N8</f>
        <v>2320</v>
      </c>
      <c r="O24" s="30">
        <f t="shared" si="16"/>
        <v>2528</v>
      </c>
      <c r="P24" s="30">
        <f t="shared" si="16"/>
        <v>3363</v>
      </c>
      <c r="Q24" s="30">
        <f t="shared" si="16"/>
        <v>3965</v>
      </c>
      <c r="R24" s="30">
        <f t="shared" si="16"/>
        <v>4277</v>
      </c>
      <c r="S24" s="30">
        <f t="shared" si="16"/>
        <v>4492</v>
      </c>
      <c r="T24" s="5">
        <f t="shared" si="16"/>
        <v>5063</v>
      </c>
    </row>
    <row r="25" spans="1:20" ht="25.5" outlineLevel="1">
      <c r="A25" s="47" t="s">
        <v>16</v>
      </c>
      <c r="B25" s="2"/>
      <c r="C25" s="2"/>
      <c r="D25" s="148">
        <v>137</v>
      </c>
      <c r="E25" s="148">
        <v>140</v>
      </c>
      <c r="F25" s="2"/>
      <c r="G25" s="2"/>
      <c r="H25" s="2"/>
      <c r="I25" s="2"/>
      <c r="J25" s="2">
        <v>96</v>
      </c>
      <c r="K25" s="2">
        <v>75</v>
      </c>
      <c r="L25" s="5">
        <v>166</v>
      </c>
      <c r="M25" s="30">
        <v>166</v>
      </c>
      <c r="N25" s="30">
        <v>492</v>
      </c>
      <c r="O25" s="30">
        <v>745</v>
      </c>
      <c r="P25" s="30">
        <v>981</v>
      </c>
      <c r="Q25" s="30">
        <f>1117+1546</f>
        <v>2663</v>
      </c>
      <c r="R25" s="30">
        <f>2701+1769</f>
        <v>4470</v>
      </c>
      <c r="S25" s="30">
        <f>557+2198</f>
        <v>2755</v>
      </c>
      <c r="T25" s="5">
        <f>1893+64</f>
        <v>1957</v>
      </c>
    </row>
    <row r="26" spans="1:20" ht="12.75" outlineLevel="1">
      <c r="A26" s="46" t="s">
        <v>18</v>
      </c>
      <c r="B26" s="152">
        <f aca="true" t="shared" si="17" ref="B26:L26">SUM(B24:B25)</f>
        <v>0</v>
      </c>
      <c r="C26" s="152">
        <f t="shared" si="17"/>
        <v>0</v>
      </c>
      <c r="D26" s="152">
        <f t="shared" si="17"/>
        <v>1223</v>
      </c>
      <c r="E26" s="152">
        <f t="shared" si="17"/>
        <v>1488</v>
      </c>
      <c r="F26" s="152">
        <f t="shared" si="17"/>
        <v>1284</v>
      </c>
      <c r="G26" s="152">
        <f t="shared" si="17"/>
        <v>1705</v>
      </c>
      <c r="H26" s="152">
        <f t="shared" si="17"/>
        <v>1918</v>
      </c>
      <c r="I26" s="152">
        <f>SUM(I24:I25)</f>
        <v>2627</v>
      </c>
      <c r="J26" s="152">
        <f t="shared" si="17"/>
        <v>3107</v>
      </c>
      <c r="K26" s="152">
        <f t="shared" si="17"/>
        <v>3317</v>
      </c>
      <c r="L26" s="153">
        <f t="shared" si="17"/>
        <v>2809</v>
      </c>
      <c r="M26" s="29">
        <f>SUM(M24:M25)</f>
        <v>2809</v>
      </c>
      <c r="N26" s="29">
        <f aca="true" t="shared" si="18" ref="N26:T26">SUM(N24:N25)</f>
        <v>2812</v>
      </c>
      <c r="O26" s="29">
        <f t="shared" si="18"/>
        <v>3273</v>
      </c>
      <c r="P26" s="29">
        <f t="shared" si="18"/>
        <v>4344</v>
      </c>
      <c r="Q26" s="29">
        <f t="shared" si="18"/>
        <v>6628</v>
      </c>
      <c r="R26" s="29">
        <f t="shared" si="18"/>
        <v>8747</v>
      </c>
      <c r="S26" s="29">
        <f t="shared" si="18"/>
        <v>7247</v>
      </c>
      <c r="T26" s="28">
        <f t="shared" si="18"/>
        <v>7020</v>
      </c>
    </row>
    <row r="27" spans="1:20" ht="12.75" outlineLevel="1">
      <c r="A27" s="51" t="s">
        <v>14</v>
      </c>
      <c r="B27" s="149"/>
      <c r="C27" s="149"/>
      <c r="D27" s="149">
        <f>D26-1033-344-252</f>
        <v>-406</v>
      </c>
      <c r="E27" s="149">
        <f>E26-716-134-216</f>
        <v>422</v>
      </c>
      <c r="F27" s="150">
        <f>F26-1201-500-191</f>
        <v>-608</v>
      </c>
      <c r="G27" s="150">
        <f>G26-1422-466-208</f>
        <v>-391</v>
      </c>
      <c r="H27" s="150">
        <f>H26-213-383-1411</f>
        <v>-89</v>
      </c>
      <c r="I27" s="150">
        <f>I26-1345-488-225</f>
        <v>569</v>
      </c>
      <c r="J27" s="150">
        <f>J26-1384</f>
        <v>1723</v>
      </c>
      <c r="K27" s="150">
        <f>K26-2157</f>
        <v>1160</v>
      </c>
      <c r="L27" s="151">
        <f>L26-2072</f>
        <v>737</v>
      </c>
      <c r="M27" s="35">
        <f>M26-2072</f>
        <v>737</v>
      </c>
      <c r="N27" s="35">
        <f>N26-1900</f>
        <v>912</v>
      </c>
      <c r="O27" s="35">
        <f>O26-2037</f>
        <v>1236</v>
      </c>
      <c r="P27" s="35">
        <f>P26-2305</f>
        <v>2039</v>
      </c>
      <c r="Q27" s="35">
        <f>Q26-2309</f>
        <v>4319</v>
      </c>
      <c r="R27" s="35">
        <f>R26-3384</f>
        <v>5363</v>
      </c>
      <c r="S27" s="35">
        <f>S26-(5263-1157)</f>
        <v>3141</v>
      </c>
      <c r="T27" s="34">
        <f>T26-5082</f>
        <v>1938</v>
      </c>
    </row>
    <row r="28" spans="1:20" ht="12.75" outlineLevel="1">
      <c r="A28" s="50"/>
      <c r="B28" s="149"/>
      <c r="C28" s="149"/>
      <c r="D28" s="149"/>
      <c r="E28" s="149"/>
      <c r="F28" s="150"/>
      <c r="G28" s="150"/>
      <c r="H28" s="150"/>
      <c r="I28" s="150"/>
      <c r="J28" s="150"/>
      <c r="K28" s="150"/>
      <c r="L28" s="151"/>
      <c r="M28" s="2"/>
      <c r="N28" s="2"/>
      <c r="O28" s="2"/>
      <c r="P28" s="2"/>
      <c r="Q28" s="2"/>
      <c r="R28" s="2"/>
      <c r="S28" s="2"/>
      <c r="T28" s="5"/>
    </row>
    <row r="29" spans="1:20" ht="12.75" outlineLevel="1">
      <c r="A29" s="33" t="s">
        <v>17</v>
      </c>
      <c r="B29" s="9"/>
      <c r="C29" s="9"/>
      <c r="D29" s="9"/>
      <c r="E29" s="9"/>
      <c r="F29" s="9"/>
      <c r="G29" s="9"/>
      <c r="H29" s="9"/>
      <c r="I29" s="9"/>
      <c r="J29" s="9"/>
      <c r="K29" s="9"/>
      <c r="L29" s="8"/>
      <c r="M29" s="32"/>
      <c r="N29" s="32"/>
      <c r="O29" s="32"/>
      <c r="P29" s="32"/>
      <c r="Q29" s="32"/>
      <c r="R29" s="32"/>
      <c r="S29" s="32"/>
      <c r="T29" s="31"/>
    </row>
    <row r="30" spans="1:20" ht="12.75" outlineLevel="1">
      <c r="A30" s="47" t="s">
        <v>12</v>
      </c>
      <c r="B30" s="2"/>
      <c r="C30" s="2"/>
      <c r="D30" s="2">
        <v>413</v>
      </c>
      <c r="E30" s="2">
        <v>460</v>
      </c>
      <c r="F30" s="148"/>
      <c r="G30" s="148"/>
      <c r="H30" s="2"/>
      <c r="I30" s="2"/>
      <c r="J30" s="2">
        <v>1145</v>
      </c>
      <c r="K30" s="2">
        <v>1370</v>
      </c>
      <c r="L30" s="5">
        <v>1396</v>
      </c>
      <c r="M30" s="30">
        <f>M12</f>
        <v>1396</v>
      </c>
      <c r="N30" s="30">
        <f aca="true" t="shared" si="19" ref="N30:T30">N12</f>
        <v>1408</v>
      </c>
      <c r="O30" s="30">
        <f t="shared" si="19"/>
        <v>1472</v>
      </c>
      <c r="P30" s="30">
        <f t="shared" si="19"/>
        <v>1532</v>
      </c>
      <c r="Q30" s="30">
        <f t="shared" si="19"/>
        <v>1697</v>
      </c>
      <c r="R30" s="30">
        <f t="shared" si="19"/>
        <v>1691</v>
      </c>
      <c r="S30" s="30">
        <f t="shared" si="19"/>
        <v>1749</v>
      </c>
      <c r="T30" s="5">
        <f t="shared" si="19"/>
        <v>1847</v>
      </c>
    </row>
    <row r="31" spans="1:20" ht="25.5" outlineLevel="1">
      <c r="A31" s="47" t="s">
        <v>16</v>
      </c>
      <c r="B31" s="148"/>
      <c r="C31" s="148"/>
      <c r="D31" s="2">
        <v>251</v>
      </c>
      <c r="E31" s="2">
        <v>266</v>
      </c>
      <c r="F31" s="148">
        <v>782</v>
      </c>
      <c r="G31" s="148">
        <f>809+502</f>
        <v>1311</v>
      </c>
      <c r="H31" s="148">
        <v>1828</v>
      </c>
      <c r="I31" s="148">
        <v>2033</v>
      </c>
      <c r="J31" s="2">
        <v>1034</v>
      </c>
      <c r="K31" s="2">
        <v>1230</v>
      </c>
      <c r="L31" s="5">
        <v>1602</v>
      </c>
      <c r="M31" s="30">
        <f>1570+32</f>
        <v>1602</v>
      </c>
      <c r="N31" s="30">
        <f>1248+14</f>
        <v>1262</v>
      </c>
      <c r="O31" s="30">
        <v>962</v>
      </c>
      <c r="P31" s="30">
        <v>1019</v>
      </c>
      <c r="Q31" s="30">
        <v>1063</v>
      </c>
      <c r="R31" s="30">
        <f>1553+3</f>
        <v>1556</v>
      </c>
      <c r="S31" s="30">
        <v>1977</v>
      </c>
      <c r="T31" s="5">
        <v>2523</v>
      </c>
    </row>
    <row r="32" spans="1:20" ht="12.75" outlineLevel="1">
      <c r="A32" s="46" t="s">
        <v>15</v>
      </c>
      <c r="B32" s="152">
        <f aca="true" t="shared" si="20" ref="B32:L32">SUM(B30:B31)</f>
        <v>0</v>
      </c>
      <c r="C32" s="152">
        <f t="shared" si="20"/>
        <v>0</v>
      </c>
      <c r="D32" s="152">
        <f t="shared" si="20"/>
        <v>664</v>
      </c>
      <c r="E32" s="152">
        <f t="shared" si="20"/>
        <v>726</v>
      </c>
      <c r="F32" s="152">
        <f t="shared" si="20"/>
        <v>782</v>
      </c>
      <c r="G32" s="152">
        <f t="shared" si="20"/>
        <v>1311</v>
      </c>
      <c r="H32" s="152">
        <f t="shared" si="20"/>
        <v>1828</v>
      </c>
      <c r="I32" s="152">
        <f t="shared" si="20"/>
        <v>2033</v>
      </c>
      <c r="J32" s="152">
        <f t="shared" si="20"/>
        <v>2179</v>
      </c>
      <c r="K32" s="152">
        <f t="shared" si="20"/>
        <v>2600</v>
      </c>
      <c r="L32" s="153">
        <f t="shared" si="20"/>
        <v>2998</v>
      </c>
      <c r="M32" s="29">
        <f aca="true" t="shared" si="21" ref="M32:T32">SUM(M30:M31)</f>
        <v>2998</v>
      </c>
      <c r="N32" s="29">
        <f t="shared" si="21"/>
        <v>2670</v>
      </c>
      <c r="O32" s="29">
        <f t="shared" si="21"/>
        <v>2434</v>
      </c>
      <c r="P32" s="29">
        <f t="shared" si="21"/>
        <v>2551</v>
      </c>
      <c r="Q32" s="29">
        <f t="shared" si="21"/>
        <v>2760</v>
      </c>
      <c r="R32" s="29">
        <f t="shared" si="21"/>
        <v>3247</v>
      </c>
      <c r="S32" s="29">
        <f t="shared" si="21"/>
        <v>3726</v>
      </c>
      <c r="T32" s="28">
        <f t="shared" si="21"/>
        <v>4370</v>
      </c>
    </row>
    <row r="33" spans="1:20" ht="12.75" outlineLevel="1">
      <c r="A33" s="49" t="s">
        <v>14</v>
      </c>
      <c r="B33" s="149"/>
      <c r="C33" s="149"/>
      <c r="D33" s="149">
        <f>D32-802</f>
        <v>-138</v>
      </c>
      <c r="E33" s="149">
        <f>E32-883</f>
        <v>-157</v>
      </c>
      <c r="F33" s="150">
        <f>F32-1070</f>
        <v>-288</v>
      </c>
      <c r="G33" s="150">
        <f>G32-1138</f>
        <v>173</v>
      </c>
      <c r="H33" s="150">
        <f>H32-1831</f>
        <v>-3</v>
      </c>
      <c r="I33" s="150">
        <f>I32-1988</f>
        <v>45</v>
      </c>
      <c r="J33" s="150">
        <f>J32-2515</f>
        <v>-336</v>
      </c>
      <c r="K33" s="150">
        <f>K32-3031</f>
        <v>-431</v>
      </c>
      <c r="L33" s="151">
        <f>L32-3158</f>
        <v>-160</v>
      </c>
      <c r="M33" s="27">
        <f>M32-3158</f>
        <v>-160</v>
      </c>
      <c r="N33" s="27">
        <f>N32-2366</f>
        <v>304</v>
      </c>
      <c r="O33" s="27">
        <f>O32-2694</f>
        <v>-260</v>
      </c>
      <c r="P33" s="27">
        <f>P32-2440</f>
        <v>111</v>
      </c>
      <c r="Q33" s="27">
        <f>Q32-2671</f>
        <v>89</v>
      </c>
      <c r="R33" s="27">
        <f>R32-3004</f>
        <v>243</v>
      </c>
      <c r="S33" s="27">
        <f>S32-(3669-492)</f>
        <v>549</v>
      </c>
      <c r="T33" s="26">
        <f>T32-4397</f>
        <v>-27</v>
      </c>
    </row>
    <row r="34" spans="1:20" ht="12.75" outlineLevel="1">
      <c r="A34" s="5"/>
      <c r="B34" s="42"/>
      <c r="C34" s="42"/>
      <c r="D34" s="42"/>
      <c r="E34" s="42"/>
      <c r="F34" s="42"/>
      <c r="G34" s="42"/>
      <c r="H34" s="42"/>
      <c r="I34" s="42"/>
      <c r="J34" s="42"/>
      <c r="K34" s="42"/>
      <c r="L34" s="28"/>
      <c r="M34" s="42"/>
      <c r="N34" s="42"/>
      <c r="O34" s="42"/>
      <c r="P34" s="42"/>
      <c r="Q34" s="42"/>
      <c r="R34" s="42"/>
      <c r="S34" s="29"/>
      <c r="T34" s="28"/>
    </row>
    <row r="35" spans="1:20" ht="12.75">
      <c r="A35" s="38" t="s">
        <v>34</v>
      </c>
      <c r="B35" s="37"/>
      <c r="C35" s="37"/>
      <c r="D35" s="37"/>
      <c r="E35" s="37"/>
      <c r="F35" s="37"/>
      <c r="G35" s="37"/>
      <c r="H35" s="37"/>
      <c r="I35" s="37"/>
      <c r="J35" s="37"/>
      <c r="K35" s="37"/>
      <c r="L35" s="36"/>
      <c r="M35" s="37"/>
      <c r="N35" s="37"/>
      <c r="O35" s="37"/>
      <c r="P35" s="37"/>
      <c r="Q35" s="37"/>
      <c r="R35" s="37"/>
      <c r="S35" s="37"/>
      <c r="T35" s="36"/>
    </row>
    <row r="36" spans="1:20" ht="12.75">
      <c r="A36" s="47" t="s">
        <v>12</v>
      </c>
      <c r="B36" s="30"/>
      <c r="C36" s="30"/>
      <c r="D36" s="30"/>
      <c r="E36" s="30">
        <v>1614</v>
      </c>
      <c r="F36" s="30">
        <v>2554</v>
      </c>
      <c r="G36" s="30"/>
      <c r="H36" s="30"/>
      <c r="I36" s="30"/>
      <c r="J36" s="30"/>
      <c r="K36" s="30"/>
      <c r="L36" s="5"/>
      <c r="M36" s="30"/>
      <c r="N36" s="30"/>
      <c r="O36" s="30"/>
      <c r="P36" s="30"/>
      <c r="Q36" s="30"/>
      <c r="R36" s="30"/>
      <c r="S36" s="30"/>
      <c r="T36" s="5"/>
    </row>
    <row r="37" spans="1:20" ht="25.5">
      <c r="A37" s="47" t="s">
        <v>16</v>
      </c>
      <c r="B37" s="30"/>
      <c r="C37" s="30"/>
      <c r="D37" s="30"/>
      <c r="E37" s="30">
        <v>81</v>
      </c>
      <c r="F37" s="30">
        <v>31</v>
      </c>
      <c r="G37" s="30"/>
      <c r="H37" s="30"/>
      <c r="I37" s="30"/>
      <c r="J37" s="30"/>
      <c r="K37" s="30">
        <f>544+91</f>
        <v>635</v>
      </c>
      <c r="L37" s="5">
        <f>292+547+68</f>
        <v>907</v>
      </c>
      <c r="M37" s="30">
        <f>292+547+68</f>
        <v>907</v>
      </c>
      <c r="N37" s="30">
        <v>821</v>
      </c>
      <c r="O37" s="30">
        <v>1345</v>
      </c>
      <c r="P37" s="30">
        <f>1967</f>
        <v>1967</v>
      </c>
      <c r="Q37" s="30">
        <f>32+15+1989</f>
        <v>2036</v>
      </c>
      <c r="R37" s="30">
        <v>1923</v>
      </c>
      <c r="S37" s="30">
        <v>2975</v>
      </c>
      <c r="T37" s="5">
        <v>4102</v>
      </c>
    </row>
    <row r="38" spans="1:20" ht="12.75">
      <c r="A38" s="46" t="s">
        <v>18</v>
      </c>
      <c r="B38" s="29">
        <f>SUM(B36:B37)</f>
        <v>0</v>
      </c>
      <c r="C38" s="29">
        <f>SUM(C36:C37)</f>
        <v>0</v>
      </c>
      <c r="D38" s="29">
        <f>SUM(D36:D37)</f>
        <v>0</v>
      </c>
      <c r="E38" s="29">
        <f>SUM(E36:E37)</f>
        <v>1695</v>
      </c>
      <c r="F38" s="29">
        <f>SUM(F36:F37)</f>
        <v>2585</v>
      </c>
      <c r="G38" s="93">
        <v>3207</v>
      </c>
      <c r="H38" s="93">
        <v>3282</v>
      </c>
      <c r="I38" s="93">
        <v>3030</v>
      </c>
      <c r="J38" s="93">
        <v>3047</v>
      </c>
      <c r="K38" s="29">
        <f aca="true" t="shared" si="22" ref="K38:T38">SUM(K36:K37)</f>
        <v>635</v>
      </c>
      <c r="L38" s="28">
        <f t="shared" si="22"/>
        <v>907</v>
      </c>
      <c r="M38" s="29">
        <f t="shared" si="22"/>
        <v>907</v>
      </c>
      <c r="N38" s="29">
        <f t="shared" si="22"/>
        <v>821</v>
      </c>
      <c r="O38" s="29">
        <f t="shared" si="22"/>
        <v>1345</v>
      </c>
      <c r="P38" s="29">
        <f t="shared" si="22"/>
        <v>1967</v>
      </c>
      <c r="Q38" s="29">
        <f t="shared" si="22"/>
        <v>2036</v>
      </c>
      <c r="R38" s="29">
        <f t="shared" si="22"/>
        <v>1923</v>
      </c>
      <c r="S38" s="29">
        <f t="shared" si="22"/>
        <v>2975</v>
      </c>
      <c r="T38" s="28">
        <f t="shared" si="22"/>
        <v>4102</v>
      </c>
    </row>
    <row r="39" spans="1:20" ht="12.75">
      <c r="A39" s="51" t="s">
        <v>14</v>
      </c>
      <c r="B39" s="35">
        <f>B38-B66</f>
        <v>0</v>
      </c>
      <c r="C39" s="35">
        <f aca="true" t="shared" si="23" ref="C39:T39">C38-C66</f>
        <v>0</v>
      </c>
      <c r="D39" s="35">
        <f t="shared" si="23"/>
        <v>0</v>
      </c>
      <c r="E39" s="35">
        <f t="shared" si="23"/>
        <v>-539</v>
      </c>
      <c r="F39" s="35">
        <f t="shared" si="23"/>
        <v>-256</v>
      </c>
      <c r="G39" s="35">
        <f t="shared" si="23"/>
        <v>436</v>
      </c>
      <c r="H39" s="35">
        <f t="shared" si="23"/>
        <v>643</v>
      </c>
      <c r="I39" s="35">
        <f t="shared" si="23"/>
        <v>365</v>
      </c>
      <c r="J39" s="35">
        <f t="shared" si="23"/>
        <v>-59</v>
      </c>
      <c r="K39" s="35">
        <f t="shared" si="23"/>
        <v>-1734</v>
      </c>
      <c r="L39" s="34">
        <f t="shared" si="23"/>
        <v>-1372</v>
      </c>
      <c r="M39" s="35">
        <f t="shared" si="23"/>
        <v>-1373</v>
      </c>
      <c r="N39" s="35">
        <f t="shared" si="23"/>
        <v>-1845</v>
      </c>
      <c r="O39" s="35">
        <f t="shared" si="23"/>
        <v>-1112</v>
      </c>
      <c r="P39" s="35">
        <f t="shared" si="23"/>
        <v>-1338</v>
      </c>
      <c r="Q39" s="35">
        <f t="shared" si="23"/>
        <v>-1206</v>
      </c>
      <c r="R39" s="35">
        <f t="shared" si="23"/>
        <v>-1278</v>
      </c>
      <c r="S39" s="35">
        <f t="shared" si="23"/>
        <v>-487</v>
      </c>
      <c r="T39" s="34">
        <f t="shared" si="23"/>
        <v>49</v>
      </c>
    </row>
    <row r="40" spans="1:20" ht="12.75">
      <c r="A40" s="50"/>
      <c r="B40" s="2"/>
      <c r="C40" s="2"/>
      <c r="D40" s="2"/>
      <c r="E40" s="2"/>
      <c r="F40" s="2"/>
      <c r="G40" s="2"/>
      <c r="H40" s="2"/>
      <c r="I40" s="2"/>
      <c r="J40" s="2"/>
      <c r="K40" s="2"/>
      <c r="L40" s="5"/>
      <c r="M40" s="2"/>
      <c r="N40" s="2"/>
      <c r="O40" s="2"/>
      <c r="P40" s="2"/>
      <c r="Q40" s="2"/>
      <c r="R40" s="2"/>
      <c r="S40" s="30"/>
      <c r="T40" s="5"/>
    </row>
    <row r="41" spans="1:20" ht="12.75">
      <c r="A41" s="38" t="s">
        <v>46</v>
      </c>
      <c r="B41" s="37"/>
      <c r="C41" s="37"/>
      <c r="D41" s="37"/>
      <c r="E41" s="37"/>
      <c r="F41" s="37"/>
      <c r="G41" s="37"/>
      <c r="H41" s="37"/>
      <c r="I41" s="37"/>
      <c r="J41" s="37"/>
      <c r="K41" s="37"/>
      <c r="L41" s="36"/>
      <c r="M41" s="37"/>
      <c r="N41" s="37"/>
      <c r="O41" s="37"/>
      <c r="P41" s="37"/>
      <c r="Q41" s="37"/>
      <c r="R41" s="37"/>
      <c r="S41" s="37"/>
      <c r="T41" s="36"/>
    </row>
    <row r="42" spans="1:20" ht="12.75">
      <c r="A42" s="47" t="s">
        <v>12</v>
      </c>
      <c r="B42" s="30"/>
      <c r="C42" s="30"/>
      <c r="D42" s="30"/>
      <c r="E42" s="30"/>
      <c r="F42" s="30">
        <v>598</v>
      </c>
      <c r="G42" s="30"/>
      <c r="H42" s="30"/>
      <c r="I42" s="30"/>
      <c r="J42" s="30"/>
      <c r="K42" s="30"/>
      <c r="L42" s="5"/>
      <c r="M42" s="30"/>
      <c r="N42" s="30"/>
      <c r="O42" s="30"/>
      <c r="P42" s="30"/>
      <c r="Q42" s="30"/>
      <c r="R42" s="30"/>
      <c r="S42" s="30"/>
      <c r="T42" s="5"/>
    </row>
    <row r="43" spans="1:20" ht="25.5">
      <c r="A43" s="47" t="s">
        <v>16</v>
      </c>
      <c r="B43" s="30"/>
      <c r="C43" s="30"/>
      <c r="D43" s="30"/>
      <c r="E43" s="30">
        <f>832</f>
        <v>832</v>
      </c>
      <c r="F43" s="30">
        <f>1014</f>
        <v>1014</v>
      </c>
      <c r="G43" s="30"/>
      <c r="H43" s="30"/>
      <c r="I43" s="30"/>
      <c r="J43" s="30"/>
      <c r="K43" s="30">
        <f>1558+36+99+9</f>
        <v>1702</v>
      </c>
      <c r="L43" s="5">
        <f>1604+27+27</f>
        <v>1658</v>
      </c>
      <c r="M43" s="30">
        <f>1604+27+27</f>
        <v>1658</v>
      </c>
      <c r="N43" s="30">
        <f>1590+24</f>
        <v>1614</v>
      </c>
      <c r="O43" s="30">
        <f>1801+12</f>
        <v>1813</v>
      </c>
      <c r="P43" s="30">
        <f>76+1957</f>
        <v>2033</v>
      </c>
      <c r="Q43" s="30">
        <f>2589+40</f>
        <v>2629</v>
      </c>
      <c r="R43" s="30">
        <f>25+8+3400</f>
        <v>3433</v>
      </c>
      <c r="S43" s="30">
        <f>68+5065</f>
        <v>5133</v>
      </c>
      <c r="T43" s="5">
        <f>134+28+4461</f>
        <v>4623</v>
      </c>
    </row>
    <row r="44" spans="1:20" ht="12.75">
      <c r="A44" s="46" t="s">
        <v>18</v>
      </c>
      <c r="B44" s="29">
        <f>SUM(B42:B43)</f>
        <v>0</v>
      </c>
      <c r="C44" s="29">
        <f>SUM(C42:C43)</f>
        <v>0</v>
      </c>
      <c r="D44" s="29">
        <f>SUM(D42:D43)</f>
        <v>0</v>
      </c>
      <c r="E44" s="29">
        <f>SUM(E42:E43)</f>
        <v>832</v>
      </c>
      <c r="F44" s="29">
        <f>SUM(F42:F43)</f>
        <v>1612</v>
      </c>
      <c r="G44" s="93">
        <v>1514</v>
      </c>
      <c r="H44" s="93">
        <v>1755</v>
      </c>
      <c r="I44" s="93">
        <v>2258</v>
      </c>
      <c r="J44" s="93">
        <v>2696</v>
      </c>
      <c r="K44" s="29">
        <f aca="true" t="shared" si="24" ref="K44:T44">SUM(K42:K43)</f>
        <v>1702</v>
      </c>
      <c r="L44" s="28">
        <f t="shared" si="24"/>
        <v>1658</v>
      </c>
      <c r="M44" s="29">
        <f t="shared" si="24"/>
        <v>1658</v>
      </c>
      <c r="N44" s="29">
        <f t="shared" si="24"/>
        <v>1614</v>
      </c>
      <c r="O44" s="29">
        <f t="shared" si="24"/>
        <v>1813</v>
      </c>
      <c r="P44" s="29">
        <f t="shared" si="24"/>
        <v>2033</v>
      </c>
      <c r="Q44" s="29">
        <f t="shared" si="24"/>
        <v>2629</v>
      </c>
      <c r="R44" s="29">
        <f t="shared" si="24"/>
        <v>3433</v>
      </c>
      <c r="S44" s="29">
        <f t="shared" si="24"/>
        <v>5133</v>
      </c>
      <c r="T44" s="28">
        <f t="shared" si="24"/>
        <v>4623</v>
      </c>
    </row>
    <row r="45" spans="1:21" ht="12.75">
      <c r="A45" s="51" t="s">
        <v>14</v>
      </c>
      <c r="B45" s="35">
        <f>B44-B67</f>
        <v>0</v>
      </c>
      <c r="C45" s="35">
        <f aca="true" t="shared" si="25" ref="C45:T45">C44-C67</f>
        <v>0</v>
      </c>
      <c r="D45" s="35">
        <f t="shared" si="25"/>
        <v>0</v>
      </c>
      <c r="E45" s="35">
        <f t="shared" si="25"/>
        <v>-610</v>
      </c>
      <c r="F45" s="35">
        <f t="shared" si="25"/>
        <v>-54</v>
      </c>
      <c r="G45" s="35">
        <f t="shared" si="25"/>
        <v>-356</v>
      </c>
      <c r="H45" s="35">
        <f t="shared" si="25"/>
        <v>-489</v>
      </c>
      <c r="I45" s="35">
        <f t="shared" si="25"/>
        <v>41</v>
      </c>
      <c r="J45" s="35">
        <f t="shared" si="25"/>
        <v>356</v>
      </c>
      <c r="K45" s="35">
        <f t="shared" si="25"/>
        <v>-3629</v>
      </c>
      <c r="L45" s="34">
        <f t="shared" si="25"/>
        <v>-3892</v>
      </c>
      <c r="M45" s="35">
        <f t="shared" si="25"/>
        <v>-3892</v>
      </c>
      <c r="N45" s="35">
        <f t="shared" si="25"/>
        <v>-4020</v>
      </c>
      <c r="O45" s="35">
        <f t="shared" si="25"/>
        <v>-4223</v>
      </c>
      <c r="P45" s="35">
        <f t="shared" si="25"/>
        <v>-4857</v>
      </c>
      <c r="Q45" s="35">
        <f t="shared" si="25"/>
        <v>-4767</v>
      </c>
      <c r="R45" s="35">
        <f t="shared" si="25"/>
        <v>-5398</v>
      </c>
      <c r="S45" s="35">
        <f t="shared" si="25"/>
        <v>-5292</v>
      </c>
      <c r="T45" s="34">
        <f t="shared" si="25"/>
        <v>-5528</v>
      </c>
      <c r="U45" s="102"/>
    </row>
    <row r="46" spans="1:20" ht="12.75">
      <c r="A46" s="50"/>
      <c r="B46" s="2"/>
      <c r="C46" s="2"/>
      <c r="D46" s="2"/>
      <c r="E46" s="2"/>
      <c r="F46" s="2"/>
      <c r="G46" s="2"/>
      <c r="H46" s="2"/>
      <c r="I46" s="2"/>
      <c r="J46" s="2"/>
      <c r="K46" s="2"/>
      <c r="L46" s="5"/>
      <c r="M46" s="2"/>
      <c r="N46" s="2"/>
      <c r="O46" s="2"/>
      <c r="P46" s="2"/>
      <c r="Q46" s="2"/>
      <c r="R46" s="2"/>
      <c r="S46" s="30"/>
      <c r="T46" s="5"/>
    </row>
    <row r="47" spans="1:20" ht="12.75">
      <c r="A47" s="38" t="s">
        <v>47</v>
      </c>
      <c r="B47" s="37"/>
      <c r="C47" s="37"/>
      <c r="D47" s="37"/>
      <c r="E47" s="37"/>
      <c r="F47" s="37"/>
      <c r="G47" s="37"/>
      <c r="H47" s="37"/>
      <c r="I47" s="37"/>
      <c r="J47" s="37"/>
      <c r="K47" s="37"/>
      <c r="L47" s="36"/>
      <c r="M47" s="37"/>
      <c r="N47" s="37"/>
      <c r="O47" s="37"/>
      <c r="P47" s="37"/>
      <c r="Q47" s="37"/>
      <c r="R47" s="37"/>
      <c r="S47" s="37"/>
      <c r="T47" s="36"/>
    </row>
    <row r="48" spans="1:20" ht="12.75">
      <c r="A48" s="47" t="s">
        <v>12</v>
      </c>
      <c r="B48" s="2"/>
      <c r="C48" s="2"/>
      <c r="D48" s="2"/>
      <c r="E48" s="2">
        <v>131</v>
      </c>
      <c r="F48" s="2">
        <v>153</v>
      </c>
      <c r="G48" s="2"/>
      <c r="H48" s="2"/>
      <c r="I48" s="2"/>
      <c r="J48" s="2"/>
      <c r="K48" s="2"/>
      <c r="L48" s="5"/>
      <c r="M48" s="2"/>
      <c r="N48" s="2"/>
      <c r="O48" s="2"/>
      <c r="P48" s="2"/>
      <c r="Q48" s="2"/>
      <c r="R48" s="2"/>
      <c r="S48" s="30"/>
      <c r="T48" s="5"/>
    </row>
    <row r="49" spans="1:20" ht="25.5">
      <c r="A49" s="47" t="s">
        <v>16</v>
      </c>
      <c r="B49" s="2"/>
      <c r="C49" s="2"/>
      <c r="D49" s="2"/>
      <c r="E49" s="2">
        <f>332+268</f>
        <v>600</v>
      </c>
      <c r="F49" s="2">
        <f>226+311</f>
        <v>537</v>
      </c>
      <c r="G49" s="2"/>
      <c r="H49" s="2"/>
      <c r="I49" s="2"/>
      <c r="J49" s="2"/>
      <c r="K49" s="2">
        <f>733+33</f>
        <v>766</v>
      </c>
      <c r="L49" s="5">
        <f>1151+6</f>
        <v>1157</v>
      </c>
      <c r="M49" s="2">
        <f>1151+6</f>
        <v>1157</v>
      </c>
      <c r="N49" s="2">
        <f>1733+397</f>
        <v>2130</v>
      </c>
      <c r="O49" s="2">
        <f>2206+261</f>
        <v>2467</v>
      </c>
      <c r="P49" s="2">
        <f>2461+443</f>
        <v>2904</v>
      </c>
      <c r="Q49" s="2">
        <f>1882+411</f>
        <v>2293</v>
      </c>
      <c r="R49" s="2">
        <f>2031+407</f>
        <v>2438</v>
      </c>
      <c r="S49" s="30">
        <f>1993+414</f>
        <v>2407</v>
      </c>
      <c r="T49" s="5">
        <f>1666+535</f>
        <v>2201</v>
      </c>
    </row>
    <row r="50" spans="1:20" ht="12.75">
      <c r="A50" s="46" t="s">
        <v>18</v>
      </c>
      <c r="B50" s="29">
        <f>SUM(B48:B49)</f>
        <v>0</v>
      </c>
      <c r="C50" s="29">
        <f>SUM(C48:C49)</f>
        <v>0</v>
      </c>
      <c r="D50" s="29">
        <f>SUM(D48:D49)</f>
        <v>0</v>
      </c>
      <c r="E50" s="29">
        <f>SUM(E48:E49)</f>
        <v>731</v>
      </c>
      <c r="F50" s="29">
        <f>SUM(F48:F49)</f>
        <v>690</v>
      </c>
      <c r="G50" s="93">
        <v>695</v>
      </c>
      <c r="H50" s="93">
        <v>506</v>
      </c>
      <c r="I50" s="93">
        <v>1179</v>
      </c>
      <c r="J50" s="93">
        <v>1215</v>
      </c>
      <c r="K50" s="29">
        <f aca="true" t="shared" si="26" ref="K50:T50">SUM(K48:K49)</f>
        <v>766</v>
      </c>
      <c r="L50" s="28">
        <f t="shared" si="26"/>
        <v>1157</v>
      </c>
      <c r="M50" s="29">
        <f t="shared" si="26"/>
        <v>1157</v>
      </c>
      <c r="N50" s="29">
        <f t="shared" si="26"/>
        <v>2130</v>
      </c>
      <c r="O50" s="29">
        <f t="shared" si="26"/>
        <v>2467</v>
      </c>
      <c r="P50" s="29">
        <f t="shared" si="26"/>
        <v>2904</v>
      </c>
      <c r="Q50" s="29">
        <f t="shared" si="26"/>
        <v>2293</v>
      </c>
      <c r="R50" s="29">
        <f t="shared" si="26"/>
        <v>2438</v>
      </c>
      <c r="S50" s="29">
        <f t="shared" si="26"/>
        <v>2407</v>
      </c>
      <c r="T50" s="28">
        <f t="shared" si="26"/>
        <v>2201</v>
      </c>
    </row>
    <row r="51" spans="1:20" ht="12.75">
      <c r="A51" s="51" t="s">
        <v>14</v>
      </c>
      <c r="B51" s="35">
        <f>B50-B68</f>
        <v>0</v>
      </c>
      <c r="C51" s="35">
        <f aca="true" t="shared" si="27" ref="C51:T51">C50-C68</f>
        <v>0</v>
      </c>
      <c r="D51" s="35">
        <f t="shared" si="27"/>
        <v>0</v>
      </c>
      <c r="E51" s="35">
        <f t="shared" si="27"/>
        <v>-532</v>
      </c>
      <c r="F51" s="35">
        <f t="shared" si="27"/>
        <v>-499</v>
      </c>
      <c r="G51" s="35">
        <f t="shared" si="27"/>
        <v>-403</v>
      </c>
      <c r="H51" s="35">
        <f t="shared" si="27"/>
        <v>-626</v>
      </c>
      <c r="I51" s="35">
        <f t="shared" si="27"/>
        <v>-94</v>
      </c>
      <c r="J51" s="35">
        <f t="shared" si="27"/>
        <v>41</v>
      </c>
      <c r="K51" s="35">
        <f t="shared" si="27"/>
        <v>-652</v>
      </c>
      <c r="L51" s="34">
        <f t="shared" si="27"/>
        <v>-680</v>
      </c>
      <c r="M51" s="35">
        <f t="shared" si="27"/>
        <v>-681</v>
      </c>
      <c r="N51" s="35">
        <f t="shared" si="27"/>
        <v>-859</v>
      </c>
      <c r="O51" s="35">
        <f t="shared" si="27"/>
        <v>-741</v>
      </c>
      <c r="P51" s="35">
        <f t="shared" si="27"/>
        <v>-849</v>
      </c>
      <c r="Q51" s="35">
        <f t="shared" si="27"/>
        <v>-831</v>
      </c>
      <c r="R51" s="35">
        <f t="shared" si="27"/>
        <v>-948</v>
      </c>
      <c r="S51" s="35">
        <f t="shared" si="27"/>
        <v>-1097</v>
      </c>
      <c r="T51" s="34">
        <f t="shared" si="27"/>
        <v>-968</v>
      </c>
    </row>
    <row r="52" spans="1:20" ht="12.75">
      <c r="A52" s="50"/>
      <c r="B52" s="71"/>
      <c r="C52" s="71"/>
      <c r="D52" s="71"/>
      <c r="E52" s="71"/>
      <c r="F52" s="71"/>
      <c r="G52" s="71"/>
      <c r="H52" s="71"/>
      <c r="I52" s="71"/>
      <c r="J52" s="71"/>
      <c r="K52" s="71"/>
      <c r="L52" s="18"/>
      <c r="M52" s="71"/>
      <c r="N52" s="71"/>
      <c r="O52" s="71"/>
      <c r="P52" s="71"/>
      <c r="Q52" s="71"/>
      <c r="R52" s="71"/>
      <c r="S52" s="71"/>
      <c r="T52" s="18"/>
    </row>
    <row r="53" spans="1:20" ht="12.75">
      <c r="A53" s="25" t="s">
        <v>13</v>
      </c>
      <c r="B53" s="154"/>
      <c r="C53" s="154"/>
      <c r="D53" s="154"/>
      <c r="E53" s="154"/>
      <c r="F53" s="24"/>
      <c r="G53" s="154"/>
      <c r="H53" s="154"/>
      <c r="I53" s="154"/>
      <c r="J53" s="154"/>
      <c r="K53" s="154"/>
      <c r="L53" s="155"/>
      <c r="M53" s="24"/>
      <c r="N53" s="24"/>
      <c r="O53" s="24"/>
      <c r="P53" s="24"/>
      <c r="Q53" s="24"/>
      <c r="R53" s="24"/>
      <c r="S53" s="24"/>
      <c r="T53" s="23"/>
    </row>
    <row r="54" spans="1:20" ht="12.75">
      <c r="A54" s="52" t="s">
        <v>12</v>
      </c>
      <c r="B54" s="66">
        <f aca="true" t="shared" si="28" ref="B54:T54">SUM(B18,B24,B30,B36,B42,B48)</f>
        <v>0</v>
      </c>
      <c r="C54" s="66">
        <f t="shared" si="28"/>
        <v>0</v>
      </c>
      <c r="D54" s="66">
        <f t="shared" si="28"/>
        <v>2627</v>
      </c>
      <c r="E54" s="66">
        <f t="shared" si="28"/>
        <v>4881</v>
      </c>
      <c r="F54" s="66">
        <f t="shared" si="28"/>
        <v>6401</v>
      </c>
      <c r="G54" s="66">
        <f t="shared" si="28"/>
        <v>3644</v>
      </c>
      <c r="H54" s="66">
        <f t="shared" si="28"/>
        <v>4251</v>
      </c>
      <c r="I54" s="66">
        <f t="shared" si="28"/>
        <v>5970</v>
      </c>
      <c r="J54" s="66">
        <f t="shared" si="28"/>
        <v>7783</v>
      </c>
      <c r="K54" s="66">
        <f t="shared" si="28"/>
        <v>7713</v>
      </c>
      <c r="L54" s="66">
        <f t="shared" si="28"/>
        <v>7147</v>
      </c>
      <c r="M54" s="66">
        <f t="shared" si="28"/>
        <v>7147</v>
      </c>
      <c r="N54" s="66">
        <f t="shared" si="28"/>
        <v>7093</v>
      </c>
      <c r="O54" s="66">
        <f t="shared" si="28"/>
        <v>7411</v>
      </c>
      <c r="P54" s="66">
        <f t="shared" si="28"/>
        <v>10166</v>
      </c>
      <c r="Q54" s="66">
        <f t="shared" si="28"/>
        <v>11127</v>
      </c>
      <c r="R54" s="66">
        <f t="shared" si="28"/>
        <v>11905</v>
      </c>
      <c r="S54" s="66">
        <f t="shared" si="28"/>
        <v>12639</v>
      </c>
      <c r="T54" s="67">
        <f t="shared" si="28"/>
        <v>14098</v>
      </c>
    </row>
    <row r="55" spans="1:20" ht="12.75">
      <c r="A55" s="53" t="s">
        <v>11</v>
      </c>
      <c r="B55" s="66">
        <f aca="true" t="shared" si="29" ref="B55:T55">SUM(B19,B25,B31,B37,B43,B49)</f>
        <v>0</v>
      </c>
      <c r="C55" s="22">
        <f t="shared" si="29"/>
        <v>0</v>
      </c>
      <c r="D55" s="22">
        <f t="shared" si="29"/>
        <v>692</v>
      </c>
      <c r="E55" s="22">
        <f t="shared" si="29"/>
        <v>2281</v>
      </c>
      <c r="F55" s="22">
        <f t="shared" si="29"/>
        <v>2364</v>
      </c>
      <c r="G55" s="22">
        <f t="shared" si="29"/>
        <v>1311</v>
      </c>
      <c r="H55" s="22">
        <f t="shared" si="29"/>
        <v>1828</v>
      </c>
      <c r="I55" s="22">
        <f t="shared" si="29"/>
        <v>2033</v>
      </c>
      <c r="J55" s="22">
        <f t="shared" si="29"/>
        <v>1130</v>
      </c>
      <c r="K55" s="22">
        <f t="shared" si="29"/>
        <v>4582</v>
      </c>
      <c r="L55" s="22">
        <f t="shared" si="29"/>
        <v>5596</v>
      </c>
      <c r="M55" s="22">
        <f t="shared" si="29"/>
        <v>5904</v>
      </c>
      <c r="N55" s="22">
        <f t="shared" si="29"/>
        <v>6534</v>
      </c>
      <c r="O55" s="22">
        <f t="shared" si="29"/>
        <v>7647</v>
      </c>
      <c r="P55" s="22">
        <f t="shared" si="29"/>
        <v>10331</v>
      </c>
      <c r="Q55" s="22">
        <f t="shared" si="29"/>
        <v>12812</v>
      </c>
      <c r="R55" s="22">
        <f t="shared" si="29"/>
        <v>15948</v>
      </c>
      <c r="S55" s="22">
        <f t="shared" si="29"/>
        <v>16188</v>
      </c>
      <c r="T55" s="21">
        <f t="shared" si="29"/>
        <v>17674</v>
      </c>
    </row>
    <row r="56" spans="1:20" ht="25.5">
      <c r="A56" s="54" t="s">
        <v>10</v>
      </c>
      <c r="B56" s="66">
        <f aca="true" t="shared" si="30" ref="B56:T56">SUM(B20,B26,B32,B38,B44,B50)</f>
        <v>0</v>
      </c>
      <c r="C56" s="20">
        <f t="shared" si="30"/>
        <v>0</v>
      </c>
      <c r="D56" s="20">
        <f t="shared" si="30"/>
        <v>3319</v>
      </c>
      <c r="E56" s="20">
        <f t="shared" si="30"/>
        <v>7162</v>
      </c>
      <c r="F56" s="20">
        <f t="shared" si="30"/>
        <v>8765</v>
      </c>
      <c r="G56" s="20">
        <f t="shared" si="30"/>
        <v>10371</v>
      </c>
      <c r="H56" s="20">
        <f t="shared" si="30"/>
        <v>11622</v>
      </c>
      <c r="I56" s="20">
        <f t="shared" si="30"/>
        <v>14470</v>
      </c>
      <c r="J56" s="20">
        <f t="shared" si="30"/>
        <v>15871</v>
      </c>
      <c r="K56" s="20">
        <f t="shared" si="30"/>
        <v>12295</v>
      </c>
      <c r="L56" s="20">
        <f t="shared" si="30"/>
        <v>12743</v>
      </c>
      <c r="M56" s="20">
        <f t="shared" si="30"/>
        <v>13051</v>
      </c>
      <c r="N56" s="20">
        <f t="shared" si="30"/>
        <v>13627</v>
      </c>
      <c r="O56" s="20">
        <f t="shared" si="30"/>
        <v>15058</v>
      </c>
      <c r="P56" s="20">
        <f t="shared" si="30"/>
        <v>20497</v>
      </c>
      <c r="Q56" s="20">
        <f t="shared" si="30"/>
        <v>23939</v>
      </c>
      <c r="R56" s="20">
        <f t="shared" si="30"/>
        <v>27853</v>
      </c>
      <c r="S56" s="20">
        <f t="shared" si="30"/>
        <v>28827</v>
      </c>
      <c r="T56" s="19">
        <f t="shared" si="30"/>
        <v>31772</v>
      </c>
    </row>
    <row r="57" spans="1:20" ht="12.75">
      <c r="A57" s="55" t="s">
        <v>9</v>
      </c>
      <c r="B57" s="66">
        <f aca="true" t="shared" si="31" ref="B57:T57">SUM(B21,B27,B33,B39,B45,B51)</f>
        <v>0</v>
      </c>
      <c r="C57" s="71">
        <f t="shared" si="31"/>
        <v>0</v>
      </c>
      <c r="D57" s="71">
        <f t="shared" si="31"/>
        <v>-1485</v>
      </c>
      <c r="E57" s="71">
        <f t="shared" si="31"/>
        <v>-2099</v>
      </c>
      <c r="F57" s="71">
        <f t="shared" si="31"/>
        <v>-2392</v>
      </c>
      <c r="G57" s="71">
        <f t="shared" si="31"/>
        <v>-1312</v>
      </c>
      <c r="H57" s="71">
        <f t="shared" si="31"/>
        <v>-1280</v>
      </c>
      <c r="I57" s="71">
        <f t="shared" si="31"/>
        <v>544</v>
      </c>
      <c r="J57" s="71">
        <f t="shared" si="31"/>
        <v>3170</v>
      </c>
      <c r="K57" s="71">
        <f t="shared" si="31"/>
        <v>-3926</v>
      </c>
      <c r="L57" s="71">
        <f t="shared" si="31"/>
        <v>-4201</v>
      </c>
      <c r="M57" s="71">
        <f t="shared" si="31"/>
        <v>-3895</v>
      </c>
      <c r="N57" s="71">
        <f t="shared" si="31"/>
        <v>-4133</v>
      </c>
      <c r="O57" s="71">
        <f t="shared" si="31"/>
        <v>-3778</v>
      </c>
      <c r="P57" s="71">
        <f t="shared" si="31"/>
        <v>-791</v>
      </c>
      <c r="Q57" s="71">
        <f t="shared" si="31"/>
        <v>2234</v>
      </c>
      <c r="R57" s="71">
        <f t="shared" si="31"/>
        <v>1943</v>
      </c>
      <c r="S57" s="71">
        <f t="shared" si="31"/>
        <v>108</v>
      </c>
      <c r="T57" s="18">
        <f t="shared" si="31"/>
        <v>-1048</v>
      </c>
    </row>
    <row r="58" spans="1:20" ht="12.75">
      <c r="A58" s="56" t="s">
        <v>8</v>
      </c>
      <c r="B58" s="66">
        <f>SUM(B22,B28,B34,B40,B46,B52)</f>
        <v>0</v>
      </c>
      <c r="C58" s="17">
        <f aca="true" t="shared" si="32" ref="C58:T58">C59-C55-C15</f>
        <v>0</v>
      </c>
      <c r="D58" s="17">
        <f t="shared" si="32"/>
        <v>14188</v>
      </c>
      <c r="E58" s="17">
        <f t="shared" si="32"/>
        <v>16396</v>
      </c>
      <c r="F58" s="17">
        <f t="shared" si="32"/>
        <v>21758</v>
      </c>
      <c r="G58" s="17">
        <f t="shared" si="32"/>
        <v>23175</v>
      </c>
      <c r="H58" s="17">
        <f t="shared" si="32"/>
        <v>20313</v>
      </c>
      <c r="I58" s="17">
        <f t="shared" si="32"/>
        <v>25996</v>
      </c>
      <c r="J58" s="17">
        <f t="shared" si="32"/>
        <v>23855</v>
      </c>
      <c r="K58" s="17">
        <f t="shared" si="32"/>
        <v>21719</v>
      </c>
      <c r="L58" s="17">
        <f t="shared" si="32"/>
        <v>23352</v>
      </c>
      <c r="M58" s="17">
        <f t="shared" si="32"/>
        <v>23044</v>
      </c>
      <c r="N58" s="17">
        <f t="shared" si="32"/>
        <v>25090</v>
      </c>
      <c r="O58" s="17">
        <f t="shared" si="32"/>
        <v>25913</v>
      </c>
      <c r="P58" s="17">
        <f t="shared" si="32"/>
        <v>28100</v>
      </c>
      <c r="Q58" s="17">
        <f t="shared" si="32"/>
        <v>33633</v>
      </c>
      <c r="R58" s="17">
        <f t="shared" si="32"/>
        <v>37038</v>
      </c>
      <c r="S58" s="17">
        <f t="shared" si="32"/>
        <v>44769</v>
      </c>
      <c r="T58" s="16">
        <f t="shared" si="32"/>
        <v>48812</v>
      </c>
    </row>
    <row r="59" spans="1:20" ht="12.75">
      <c r="A59" s="57" t="s">
        <v>7</v>
      </c>
      <c r="B59" s="7"/>
      <c r="C59" s="7"/>
      <c r="D59" s="7">
        <v>30610</v>
      </c>
      <c r="E59" s="7">
        <v>35208</v>
      </c>
      <c r="F59" s="7">
        <v>41716</v>
      </c>
      <c r="G59" s="7">
        <v>44591</v>
      </c>
      <c r="H59" s="7">
        <v>44507</v>
      </c>
      <c r="I59" s="7">
        <v>52201</v>
      </c>
      <c r="J59" s="7">
        <v>49838</v>
      </c>
      <c r="K59" s="7">
        <v>51965</v>
      </c>
      <c r="L59" s="6">
        <v>54792</v>
      </c>
      <c r="M59" s="7">
        <v>54792</v>
      </c>
      <c r="N59" s="7">
        <v>57787</v>
      </c>
      <c r="O59" s="7">
        <v>61108</v>
      </c>
      <c r="P59" s="7">
        <v>70411</v>
      </c>
      <c r="Q59" s="7">
        <v>80834</v>
      </c>
      <c r="R59" s="7">
        <v>89648</v>
      </c>
      <c r="S59" s="7">
        <v>99663</v>
      </c>
      <c r="T59" s="6">
        <v>108125</v>
      </c>
    </row>
    <row r="60" spans="1:20" ht="12.75">
      <c r="A60" s="47"/>
      <c r="B60" s="2"/>
      <c r="C60" s="2"/>
      <c r="D60" s="2"/>
      <c r="E60" s="2"/>
      <c r="F60" s="2"/>
      <c r="G60" s="2"/>
      <c r="H60" s="2"/>
      <c r="I60" s="2"/>
      <c r="J60" s="2"/>
      <c r="K60" s="2"/>
      <c r="L60" s="5"/>
      <c r="M60" s="2"/>
      <c r="N60" s="2"/>
      <c r="O60" s="2"/>
      <c r="P60" s="2"/>
      <c r="Q60" s="2"/>
      <c r="R60" s="2"/>
      <c r="S60" s="2"/>
      <c r="T60" s="5"/>
    </row>
    <row r="61" spans="1:20" ht="12.75">
      <c r="A61" s="48" t="s">
        <v>6</v>
      </c>
      <c r="B61" s="156"/>
      <c r="C61" s="156"/>
      <c r="D61" s="156"/>
      <c r="E61" s="156"/>
      <c r="F61" s="156"/>
      <c r="G61" s="156"/>
      <c r="H61" s="156"/>
      <c r="I61" s="156"/>
      <c r="J61" s="156"/>
      <c r="K61" s="156"/>
      <c r="L61" s="157"/>
      <c r="M61" s="17"/>
      <c r="N61" s="17"/>
      <c r="O61" s="17"/>
      <c r="P61" s="17"/>
      <c r="Q61" s="17"/>
      <c r="R61" s="17"/>
      <c r="S61" s="17"/>
      <c r="T61" s="16"/>
    </row>
    <row r="62" spans="1:20" ht="25.5">
      <c r="A62" s="47" t="s">
        <v>221</v>
      </c>
      <c r="B62" s="2"/>
      <c r="C62" s="2"/>
      <c r="D62" s="2">
        <f>4384+216+470</f>
        <v>5070</v>
      </c>
      <c r="E62" s="2">
        <f>4080+342+254+303</f>
        <v>4979</v>
      </c>
      <c r="F62" s="2">
        <f>4849+433+414+508</f>
        <v>6204</v>
      </c>
      <c r="G62" s="2">
        <f>4823+642+542</f>
        <v>6007</v>
      </c>
      <c r="H62" s="2">
        <f>5063+389+1018</f>
        <v>6470</v>
      </c>
      <c r="I62" s="2">
        <f>347+5474</f>
        <v>5821</v>
      </c>
      <c r="J62" s="2">
        <f>5064+432</f>
        <v>5496</v>
      </c>
      <c r="K62" s="2">
        <f>7732+433</f>
        <v>8165</v>
      </c>
      <c r="L62" s="5">
        <f>5739+706</f>
        <v>6445</v>
      </c>
      <c r="M62" s="2">
        <f>5739+706+1067</f>
        <v>7512</v>
      </c>
      <c r="N62" s="2">
        <f>528+5455+1731</f>
        <v>7714</v>
      </c>
      <c r="O62" s="2">
        <f>505+608+5294+2147</f>
        <v>8554</v>
      </c>
      <c r="P62" s="2">
        <f>5271+784+509+523+882</f>
        <v>7969</v>
      </c>
      <c r="Q62" s="2">
        <f>521+829+6311+687</f>
        <v>8348</v>
      </c>
      <c r="R62" s="2">
        <f>6848+1134+495+754</f>
        <v>9231</v>
      </c>
      <c r="S62" s="2">
        <f>506+255+844+647+1240+619+4416+940+726-113-10-101-9</f>
        <v>9960</v>
      </c>
      <c r="T62" s="5">
        <f>526+881+80+663+1283+572+4813+920+793</f>
        <v>10531</v>
      </c>
    </row>
    <row r="63" spans="1:20" ht="12.75">
      <c r="A63" s="58" t="s">
        <v>222</v>
      </c>
      <c r="B63" s="15"/>
      <c r="C63" s="15"/>
      <c r="D63" s="15">
        <v>7808</v>
      </c>
      <c r="E63" s="15">
        <v>8060</v>
      </c>
      <c r="F63" s="15">
        <v>13478</v>
      </c>
      <c r="G63" s="15">
        <v>12160</v>
      </c>
      <c r="H63" s="15">
        <v>9464</v>
      </c>
      <c r="I63" s="15">
        <v>10073</v>
      </c>
      <c r="J63" s="15">
        <v>13007</v>
      </c>
      <c r="K63" s="15">
        <v>10149</v>
      </c>
      <c r="L63" s="14">
        <v>9583</v>
      </c>
      <c r="M63" s="15">
        <f>9583</f>
        <v>9583</v>
      </c>
      <c r="N63" s="15">
        <v>9572</v>
      </c>
      <c r="O63" s="15">
        <v>9226</v>
      </c>
      <c r="P63" s="15">
        <v>10360</v>
      </c>
      <c r="Q63" s="15">
        <v>11185</v>
      </c>
      <c r="R63" s="15">
        <v>12940</v>
      </c>
      <c r="S63" s="15">
        <f>14374-545</f>
        <v>13829</v>
      </c>
      <c r="T63" s="14">
        <v>14649</v>
      </c>
    </row>
    <row r="64" spans="1:20" ht="25.5">
      <c r="A64" s="59" t="s">
        <v>223</v>
      </c>
      <c r="B64" s="158"/>
      <c r="C64" s="158"/>
      <c r="D64" s="13">
        <f>802+1998</f>
        <v>2800</v>
      </c>
      <c r="E64" s="13">
        <f>2585+883</f>
        <v>3468</v>
      </c>
      <c r="F64" s="13">
        <f>1071+2635</f>
        <v>3706</v>
      </c>
      <c r="G64" s="13">
        <f>2738+1123</f>
        <v>3861</v>
      </c>
      <c r="H64" s="13">
        <f>2833+1817</f>
        <v>4650</v>
      </c>
      <c r="I64" s="13">
        <f>1988+3035</f>
        <v>5023</v>
      </c>
      <c r="J64" s="13">
        <f>567+1384+2515</f>
        <v>4466</v>
      </c>
      <c r="K64" s="13">
        <f>1905+447+2805</f>
        <v>5157</v>
      </c>
      <c r="L64" s="12">
        <f>1797+525+2912</f>
        <v>5234</v>
      </c>
      <c r="M64" s="13">
        <f>1797+525+2912</f>
        <v>5234</v>
      </c>
      <c r="N64" s="13">
        <f>1900+548+2366</f>
        <v>4814</v>
      </c>
      <c r="O64" s="13">
        <f>2694+557+2037</f>
        <v>5288</v>
      </c>
      <c r="P64" s="13">
        <f>2440+611+2305</f>
        <v>5356</v>
      </c>
      <c r="Q64" s="13">
        <f>2309+614+2671</f>
        <v>5594</v>
      </c>
      <c r="R64" s="13">
        <f>3384+763+3004</f>
        <v>7151</v>
      </c>
      <c r="S64" s="13">
        <f>5263-1157+1118-268+3669-492</f>
        <v>8133</v>
      </c>
      <c r="T64" s="12">
        <f>5082+1119+4397</f>
        <v>10598</v>
      </c>
    </row>
    <row r="65" spans="1:20" ht="12.75">
      <c r="A65" s="60" t="s">
        <v>5</v>
      </c>
      <c r="B65" s="11"/>
      <c r="C65" s="11"/>
      <c r="D65" s="11">
        <v>2362</v>
      </c>
      <c r="E65" s="11">
        <v>2373</v>
      </c>
      <c r="F65" s="11">
        <v>2499</v>
      </c>
      <c r="G65" s="11">
        <v>2710</v>
      </c>
      <c r="H65" s="11">
        <v>3049</v>
      </c>
      <c r="I65" s="11">
        <v>3725</v>
      </c>
      <c r="J65" s="11">
        <v>2182</v>
      </c>
      <c r="K65" s="11">
        <v>1915</v>
      </c>
      <c r="L65" s="10">
        <v>2048</v>
      </c>
      <c r="M65" s="11">
        <f>2048</f>
        <v>2048</v>
      </c>
      <c r="N65" s="11">
        <v>2205</v>
      </c>
      <c r="O65" s="11">
        <v>2404</v>
      </c>
      <c r="P65" s="11">
        <v>2595</v>
      </c>
      <c r="Q65" s="11">
        <v>2963</v>
      </c>
      <c r="R65" s="11">
        <v>4104</v>
      </c>
      <c r="S65" s="11">
        <f>5761-1716</f>
        <v>4045</v>
      </c>
      <c r="T65" s="10">
        <v>5968</v>
      </c>
    </row>
    <row r="66" spans="1:20" ht="12.75">
      <c r="A66" s="118" t="s">
        <v>42</v>
      </c>
      <c r="B66" s="119"/>
      <c r="C66" s="119"/>
      <c r="D66" s="119"/>
      <c r="E66" s="119">
        <v>2234</v>
      </c>
      <c r="F66" s="119">
        <v>2841</v>
      </c>
      <c r="G66" s="119">
        <v>2771</v>
      </c>
      <c r="H66" s="119">
        <v>2639</v>
      </c>
      <c r="I66" s="119">
        <v>2665</v>
      </c>
      <c r="J66" s="119">
        <v>3106</v>
      </c>
      <c r="K66" s="119">
        <v>2369</v>
      </c>
      <c r="L66" s="122">
        <v>2279</v>
      </c>
      <c r="M66" s="119">
        <v>2280</v>
      </c>
      <c r="N66" s="119">
        <v>2666</v>
      </c>
      <c r="O66" s="119">
        <v>2457</v>
      </c>
      <c r="P66" s="119">
        <v>3305</v>
      </c>
      <c r="Q66" s="119">
        <v>3242</v>
      </c>
      <c r="R66" s="119">
        <v>3201</v>
      </c>
      <c r="S66" s="179">
        <v>3462</v>
      </c>
      <c r="T66" s="122">
        <v>4053</v>
      </c>
    </row>
    <row r="67" spans="1:20" ht="13.5" customHeight="1">
      <c r="A67" s="117" t="s">
        <v>50</v>
      </c>
      <c r="B67" s="120"/>
      <c r="C67" s="120"/>
      <c r="D67" s="120"/>
      <c r="E67" s="120">
        <v>1442</v>
      </c>
      <c r="F67" s="120">
        <v>1666</v>
      </c>
      <c r="G67" s="120">
        <v>1870</v>
      </c>
      <c r="H67" s="120">
        <v>2244</v>
      </c>
      <c r="I67" s="120">
        <v>2217</v>
      </c>
      <c r="J67" s="120">
        <v>2340</v>
      </c>
      <c r="K67" s="120">
        <f>3437+1894</f>
        <v>5331</v>
      </c>
      <c r="L67" s="123">
        <f>3537+2013</f>
        <v>5550</v>
      </c>
      <c r="M67" s="120">
        <f>3537+2013</f>
        <v>5550</v>
      </c>
      <c r="N67" s="120">
        <f>3539+2095</f>
        <v>5634</v>
      </c>
      <c r="O67" s="120">
        <f>3671+2365</f>
        <v>6036</v>
      </c>
      <c r="P67" s="120">
        <f>4149+2741</f>
        <v>6890</v>
      </c>
      <c r="Q67" s="120">
        <f>4815+2581</f>
        <v>7396</v>
      </c>
      <c r="R67" s="120">
        <f>3417+5414</f>
        <v>8831</v>
      </c>
      <c r="S67" s="120">
        <f>7020+3405</f>
        <v>10425</v>
      </c>
      <c r="T67" s="123">
        <f>3292+6859</f>
        <v>10151</v>
      </c>
    </row>
    <row r="68" spans="1:20" ht="12.75">
      <c r="A68" s="117" t="s">
        <v>41</v>
      </c>
      <c r="B68" s="119"/>
      <c r="C68" s="119"/>
      <c r="D68" s="119"/>
      <c r="E68" s="119">
        <v>1263</v>
      </c>
      <c r="F68" s="119">
        <v>1189</v>
      </c>
      <c r="G68" s="119">
        <v>1098</v>
      </c>
      <c r="H68" s="119">
        <v>1132</v>
      </c>
      <c r="I68" s="119">
        <v>1273</v>
      </c>
      <c r="J68" s="119">
        <v>1174</v>
      </c>
      <c r="K68" s="119">
        <v>1418</v>
      </c>
      <c r="L68" s="122">
        <v>1837</v>
      </c>
      <c r="M68" s="119">
        <v>1838</v>
      </c>
      <c r="N68" s="119">
        <v>2989</v>
      </c>
      <c r="O68" s="119">
        <v>3208</v>
      </c>
      <c r="P68" s="119">
        <v>3753</v>
      </c>
      <c r="Q68" s="119">
        <v>3124</v>
      </c>
      <c r="R68" s="119">
        <v>3386</v>
      </c>
      <c r="S68" s="179">
        <v>3504</v>
      </c>
      <c r="T68" s="122">
        <v>3169</v>
      </c>
    </row>
    <row r="69" spans="1:20" ht="51">
      <c r="A69" s="61" t="s">
        <v>4</v>
      </c>
      <c r="B69" s="159"/>
      <c r="C69" s="159"/>
      <c r="D69" s="159"/>
      <c r="E69" s="159"/>
      <c r="F69" s="159"/>
      <c r="G69" s="159"/>
      <c r="H69" s="159"/>
      <c r="I69" s="159"/>
      <c r="J69" s="159"/>
      <c r="K69" s="159"/>
      <c r="L69" s="160"/>
      <c r="M69" s="9">
        <f>37791-SUM(M62:M68)</f>
        <v>3746</v>
      </c>
      <c r="N69" s="9">
        <f>40336-SUM(N62:N68)</f>
        <v>4742</v>
      </c>
      <c r="O69" s="9">
        <f>42040-SUM(O62:O68)</f>
        <v>4867</v>
      </c>
      <c r="P69" s="9">
        <f>45633-SUM(P62:P68)</f>
        <v>5405</v>
      </c>
      <c r="Q69" s="9">
        <f>48140-SUM(Q62:Q68)</f>
        <v>6288</v>
      </c>
      <c r="R69" s="9">
        <f>56479-SUM(R62:R68)</f>
        <v>7635</v>
      </c>
      <c r="S69" s="9">
        <f>63727-SUM(S62:S68)</f>
        <v>10369</v>
      </c>
      <c r="T69" s="8">
        <f>67538-SUM(T62:T68)</f>
        <v>8419</v>
      </c>
    </row>
    <row r="70" spans="1:20" ht="25.5">
      <c r="A70" s="61" t="s">
        <v>3</v>
      </c>
      <c r="B70" s="159"/>
      <c r="C70" s="159"/>
      <c r="D70" s="159"/>
      <c r="E70" s="159"/>
      <c r="F70" s="159"/>
      <c r="G70" s="159"/>
      <c r="H70" s="159"/>
      <c r="I70" s="159"/>
      <c r="J70" s="159"/>
      <c r="K70" s="159"/>
      <c r="L70" s="160"/>
      <c r="M70" s="9">
        <f>M72-37791</f>
        <v>6156</v>
      </c>
      <c r="N70" s="9">
        <f>N72-40336</f>
        <v>6822</v>
      </c>
      <c r="O70" s="9">
        <f>O72-42040</f>
        <v>7993</v>
      </c>
      <c r="P70" s="9">
        <f>P72-45633</f>
        <v>9321</v>
      </c>
      <c r="Q70" s="9">
        <f>Q72-48140</f>
        <v>11106</v>
      </c>
      <c r="R70" s="9">
        <f>R72-56479</f>
        <v>12603</v>
      </c>
      <c r="S70" s="9">
        <f>S72-63727</f>
        <v>11425</v>
      </c>
      <c r="T70" s="8">
        <f>T72-67538</f>
        <v>14587</v>
      </c>
    </row>
    <row r="71" spans="1:20" ht="63.75">
      <c r="A71" s="47" t="s">
        <v>2</v>
      </c>
      <c r="B71" s="2">
        <f aca="true" t="shared" si="33" ref="B71:M71">B72-SUM(B62:B68)</f>
        <v>0</v>
      </c>
      <c r="C71" s="2">
        <f t="shared" si="33"/>
        <v>0</v>
      </c>
      <c r="D71" s="2">
        <f t="shared" si="33"/>
        <v>13878</v>
      </c>
      <c r="E71" s="2">
        <f t="shared" si="33"/>
        <v>8952</v>
      </c>
      <c r="F71" s="2">
        <f t="shared" si="33"/>
        <v>9159</v>
      </c>
      <c r="G71" s="2">
        <f t="shared" si="33"/>
        <v>10873</v>
      </c>
      <c r="H71" s="2">
        <f t="shared" si="33"/>
        <v>12154</v>
      </c>
      <c r="I71" s="2">
        <f t="shared" si="33"/>
        <v>11519</v>
      </c>
      <c r="J71" s="2">
        <f t="shared" si="33"/>
        <v>11039</v>
      </c>
      <c r="K71" s="2">
        <f t="shared" si="33"/>
        <v>13509</v>
      </c>
      <c r="L71" s="5">
        <f t="shared" si="33"/>
        <v>10971</v>
      </c>
      <c r="M71" s="2">
        <f t="shared" si="33"/>
        <v>9902</v>
      </c>
      <c r="N71" s="2">
        <f aca="true" t="shared" si="34" ref="N71:T71">N72-SUM(N62:N68)</f>
        <v>11564</v>
      </c>
      <c r="O71" s="2">
        <f t="shared" si="34"/>
        <v>12860</v>
      </c>
      <c r="P71" s="2">
        <f t="shared" si="34"/>
        <v>14726</v>
      </c>
      <c r="Q71" s="2">
        <f t="shared" si="34"/>
        <v>17394</v>
      </c>
      <c r="R71" s="2">
        <f t="shared" si="34"/>
        <v>20238</v>
      </c>
      <c r="S71" s="2">
        <f t="shared" si="34"/>
        <v>21794</v>
      </c>
      <c r="T71" s="75">
        <f t="shared" si="34"/>
        <v>23006</v>
      </c>
    </row>
    <row r="72" spans="1:20" ht="12.75">
      <c r="A72" s="57" t="s">
        <v>1</v>
      </c>
      <c r="B72" s="7"/>
      <c r="C72" s="7"/>
      <c r="D72" s="7">
        <v>31918</v>
      </c>
      <c r="E72" s="7">
        <v>32771</v>
      </c>
      <c r="F72" s="7">
        <v>40742</v>
      </c>
      <c r="G72" s="7">
        <v>41350</v>
      </c>
      <c r="H72" s="7">
        <v>41802</v>
      </c>
      <c r="I72" s="7">
        <v>42316</v>
      </c>
      <c r="J72" s="7">
        <v>42810</v>
      </c>
      <c r="K72" s="7">
        <v>48013</v>
      </c>
      <c r="L72" s="6">
        <v>43947</v>
      </c>
      <c r="M72" s="7">
        <v>43947</v>
      </c>
      <c r="N72" s="7">
        <v>47158</v>
      </c>
      <c r="O72" s="7">
        <v>50033</v>
      </c>
      <c r="P72" s="7">
        <v>54954</v>
      </c>
      <c r="Q72" s="7">
        <v>59246</v>
      </c>
      <c r="R72" s="7">
        <v>69082</v>
      </c>
      <c r="S72" s="7">
        <v>75152</v>
      </c>
      <c r="T72" s="6">
        <v>82125</v>
      </c>
    </row>
    <row r="73" spans="1:20" ht="12.75">
      <c r="A73" s="47"/>
      <c r="B73" s="2"/>
      <c r="C73" s="2"/>
      <c r="D73" s="2"/>
      <c r="E73" s="2"/>
      <c r="F73" s="2"/>
      <c r="G73" s="2"/>
      <c r="H73" s="2"/>
      <c r="I73" s="2"/>
      <c r="J73" s="2"/>
      <c r="K73" s="2"/>
      <c r="L73" s="5"/>
      <c r="M73" s="2"/>
      <c r="N73" s="2"/>
      <c r="O73" s="2"/>
      <c r="P73" s="2"/>
      <c r="Q73" s="2"/>
      <c r="R73" s="2"/>
      <c r="S73" s="2"/>
      <c r="T73" s="5"/>
    </row>
    <row r="74" spans="1:20" ht="12.75">
      <c r="A74" s="62" t="s">
        <v>0</v>
      </c>
      <c r="B74" s="4"/>
      <c r="C74" s="4"/>
      <c r="D74" s="4">
        <v>295475</v>
      </c>
      <c r="E74" s="4">
        <v>302206</v>
      </c>
      <c r="F74" s="4">
        <v>305265</v>
      </c>
      <c r="G74" s="4">
        <v>307922</v>
      </c>
      <c r="H74" s="4">
        <v>304109</v>
      </c>
      <c r="I74" s="4">
        <v>315254</v>
      </c>
      <c r="J74" s="4">
        <v>422586</v>
      </c>
      <c r="K74" s="4">
        <v>435997</v>
      </c>
      <c r="L74" s="3">
        <v>450356</v>
      </c>
      <c r="M74" s="4">
        <v>450356</v>
      </c>
      <c r="N74" s="4">
        <v>542135</v>
      </c>
      <c r="O74" s="4">
        <v>565781</v>
      </c>
      <c r="P74" s="4">
        <v>618416</v>
      </c>
      <c r="Q74" s="4">
        <v>640508</v>
      </c>
      <c r="R74" s="4">
        <v>808432</v>
      </c>
      <c r="S74" s="4">
        <v>943714</v>
      </c>
      <c r="T74" s="3">
        <v>1046689</v>
      </c>
    </row>
    <row r="75" spans="12:13" ht="12.75">
      <c r="L75" s="161"/>
      <c r="M75" s="161"/>
    </row>
    <row r="76" ht="12.75"/>
    <row r="77" ht="12.75"/>
    <row r="78" ht="12.75"/>
  </sheetData>
  <sheetProtection/>
  <mergeCells count="1">
    <mergeCell ref="B1:T1"/>
  </mergeCells>
  <printOptions/>
  <pageMargins left="0.7" right="0.7" top="0.75" bottom="0.75" header="0.3" footer="0.3"/>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V74"/>
  <sheetViews>
    <sheetView zoomScale="70" zoomScaleNormal="70" zoomScalePageLayoutView="0" workbookViewId="0" topLeftCell="A1">
      <pane xSplit="1" ySplit="2" topLeftCell="B18" activePane="bottomRight" state="frozen"/>
      <selection pane="topLeft" activeCell="W28" sqref="W28"/>
      <selection pane="topRight" activeCell="W28" sqref="W28"/>
      <selection pane="bottomLeft" activeCell="W28" sqref="W28"/>
      <selection pane="bottomRight" activeCell="F20" sqref="F20"/>
    </sheetView>
  </sheetViews>
  <sheetFormatPr defaultColWidth="9.140625" defaultRowHeight="15"/>
  <cols>
    <col min="1" max="1" width="32.421875" style="2" customWidth="1"/>
    <col min="2" max="3" width="9.140625" style="1" customWidth="1"/>
    <col min="4" max="6" width="9.28125" style="1" bestFit="1" customWidth="1"/>
    <col min="7" max="7" width="9.140625" style="1" customWidth="1"/>
    <col min="8" max="8" width="9.28125" style="1" bestFit="1" customWidth="1"/>
    <col min="9" max="12" width="9.140625" style="1" customWidth="1"/>
    <col min="13" max="13" width="9.28125" style="1" bestFit="1" customWidth="1"/>
    <col min="14" max="14" width="9.57421875" style="1" bestFit="1" customWidth="1"/>
    <col min="15" max="16384" width="9.140625" style="1" customWidth="1"/>
  </cols>
  <sheetData>
    <row r="1" spans="1:20" ht="12.75">
      <c r="A1" s="21"/>
      <c r="B1" s="482" t="s">
        <v>224</v>
      </c>
      <c r="C1" s="483"/>
      <c r="D1" s="483"/>
      <c r="E1" s="483"/>
      <c r="F1" s="483"/>
      <c r="G1" s="483"/>
      <c r="H1" s="483"/>
      <c r="I1" s="483"/>
      <c r="J1" s="483"/>
      <c r="K1" s="483"/>
      <c r="L1" s="483"/>
      <c r="M1" s="483"/>
      <c r="N1" s="483"/>
      <c r="O1" s="483"/>
      <c r="P1" s="483"/>
      <c r="Q1" s="483"/>
      <c r="R1" s="483"/>
      <c r="S1" s="483"/>
      <c r="T1" s="484"/>
    </row>
    <row r="2" spans="1:20" ht="12.75">
      <c r="A2" s="43"/>
      <c r="B2" s="143">
        <v>1991</v>
      </c>
      <c r="C2" s="143">
        <v>1992</v>
      </c>
      <c r="D2" s="143">
        <v>1993</v>
      </c>
      <c r="E2" s="143">
        <v>1994</v>
      </c>
      <c r="F2" s="143">
        <v>1995</v>
      </c>
      <c r="G2" s="143">
        <v>1996</v>
      </c>
      <c r="H2" s="143">
        <v>1997</v>
      </c>
      <c r="I2" s="143">
        <v>1998</v>
      </c>
      <c r="J2" s="143">
        <v>1999</v>
      </c>
      <c r="K2" s="143">
        <v>2000</v>
      </c>
      <c r="L2" s="116">
        <v>2001</v>
      </c>
      <c r="M2" s="143">
        <v>2001</v>
      </c>
      <c r="N2" s="143">
        <v>2002</v>
      </c>
      <c r="O2" s="143">
        <v>2003</v>
      </c>
      <c r="P2" s="143">
        <v>2004</v>
      </c>
      <c r="Q2" s="143">
        <v>2005</v>
      </c>
      <c r="R2" s="143">
        <v>2006</v>
      </c>
      <c r="S2" s="143">
        <v>2007</v>
      </c>
      <c r="T2" s="43">
        <v>2008</v>
      </c>
    </row>
    <row r="3" spans="1:20" ht="12.75">
      <c r="A3" s="45" t="s">
        <v>32</v>
      </c>
      <c r="B3" s="143" t="s">
        <v>220</v>
      </c>
      <c r="C3" s="143" t="s">
        <v>220</v>
      </c>
      <c r="D3" s="143" t="s">
        <v>220</v>
      </c>
      <c r="E3" s="143" t="s">
        <v>220</v>
      </c>
      <c r="F3" s="143" t="s">
        <v>220</v>
      </c>
      <c r="G3" s="143" t="s">
        <v>220</v>
      </c>
      <c r="H3" s="143" t="s">
        <v>220</v>
      </c>
      <c r="I3" s="143" t="s">
        <v>220</v>
      </c>
      <c r="J3" s="143" t="s">
        <v>220</v>
      </c>
      <c r="K3" s="143" t="s">
        <v>220</v>
      </c>
      <c r="L3" s="43" t="s">
        <v>220</v>
      </c>
      <c r="M3" s="143" t="s">
        <v>220</v>
      </c>
      <c r="N3" s="143" t="s">
        <v>220</v>
      </c>
      <c r="O3" s="143" t="s">
        <v>220</v>
      </c>
      <c r="P3" s="143" t="s">
        <v>220</v>
      </c>
      <c r="Q3" s="143" t="s">
        <v>220</v>
      </c>
      <c r="R3" s="143" t="s">
        <v>220</v>
      </c>
      <c r="S3" s="143" t="s">
        <v>220</v>
      </c>
      <c r="T3" s="43" t="s">
        <v>220</v>
      </c>
    </row>
    <row r="4" spans="1:20" ht="12.75">
      <c r="A4" s="46" t="s">
        <v>30</v>
      </c>
      <c r="B4" s="30"/>
      <c r="C4" s="30"/>
      <c r="D4" s="30"/>
      <c r="E4" s="30"/>
      <c r="F4" s="30"/>
      <c r="G4" s="30"/>
      <c r="H4" s="30"/>
      <c r="I4" s="30"/>
      <c r="J4" s="30"/>
      <c r="K4" s="30"/>
      <c r="L4" s="5"/>
      <c r="M4" s="30"/>
      <c r="N4" s="30"/>
      <c r="O4" s="30"/>
      <c r="P4" s="30"/>
      <c r="Q4" s="30"/>
      <c r="R4" s="30"/>
      <c r="S4" s="30"/>
      <c r="T4" s="5"/>
    </row>
    <row r="5" spans="1:20" ht="12.75">
      <c r="A5" s="47" t="s">
        <v>29</v>
      </c>
      <c r="B5" s="30">
        <v>11285</v>
      </c>
      <c r="C5" s="30">
        <v>11442</v>
      </c>
      <c r="D5" s="30"/>
      <c r="E5" s="30"/>
      <c r="F5" s="30"/>
      <c r="G5" s="30">
        <v>9383</v>
      </c>
      <c r="H5" s="30">
        <v>9462</v>
      </c>
      <c r="I5" s="30">
        <v>10330</v>
      </c>
      <c r="J5" s="30">
        <v>11249</v>
      </c>
      <c r="K5" s="30">
        <v>12123</v>
      </c>
      <c r="L5" s="5">
        <v>10537</v>
      </c>
      <c r="M5" s="30">
        <v>10537</v>
      </c>
      <c r="N5" s="30">
        <v>11298</v>
      </c>
      <c r="O5" s="30">
        <v>12587</v>
      </c>
      <c r="P5" s="30">
        <v>14366</v>
      </c>
      <c r="Q5" s="30">
        <v>15412</v>
      </c>
      <c r="R5" s="30">
        <v>17298</v>
      </c>
      <c r="S5" s="30">
        <v>19189</v>
      </c>
      <c r="T5" s="5">
        <v>20599</v>
      </c>
    </row>
    <row r="6" spans="1:20" ht="12.75">
      <c r="A6" s="47" t="s">
        <v>28</v>
      </c>
      <c r="B6" s="30"/>
      <c r="C6" s="30"/>
      <c r="D6" s="30"/>
      <c r="E6" s="30"/>
      <c r="F6" s="30"/>
      <c r="G6" s="30"/>
      <c r="H6" s="30"/>
      <c r="I6" s="30"/>
      <c r="J6" s="30"/>
      <c r="K6" s="90"/>
      <c r="L6" s="5"/>
      <c r="M6" s="30"/>
      <c r="N6" s="30"/>
      <c r="O6" s="30"/>
      <c r="P6" s="30"/>
      <c r="Q6" s="30"/>
      <c r="R6" s="30"/>
      <c r="S6" s="30"/>
      <c r="T6" s="5"/>
    </row>
    <row r="7" spans="1:20" ht="12.75">
      <c r="A7" s="47" t="s">
        <v>27</v>
      </c>
      <c r="B7" s="30"/>
      <c r="C7" s="30"/>
      <c r="D7" s="30"/>
      <c r="E7" s="30"/>
      <c r="F7" s="30"/>
      <c r="G7" s="30">
        <v>1953</v>
      </c>
      <c r="H7" s="30">
        <v>2734</v>
      </c>
      <c r="I7" s="30">
        <v>2788</v>
      </c>
      <c r="J7" s="30">
        <v>2721</v>
      </c>
      <c r="K7" s="90"/>
      <c r="L7" s="5"/>
      <c r="M7" s="30"/>
      <c r="N7" s="30"/>
      <c r="O7" s="30"/>
      <c r="P7" s="30"/>
      <c r="Q7" s="30"/>
      <c r="R7" s="30"/>
      <c r="S7" s="30">
        <v>9518</v>
      </c>
      <c r="T7" s="5">
        <v>10875</v>
      </c>
    </row>
    <row r="8" spans="1:20" ht="12.75">
      <c r="A8" s="47" t="s">
        <v>26</v>
      </c>
      <c r="B8" s="30"/>
      <c r="C8" s="30"/>
      <c r="D8" s="30"/>
      <c r="E8" s="30"/>
      <c r="F8" s="30"/>
      <c r="G8" s="162">
        <v>2663</v>
      </c>
      <c r="H8" s="162">
        <v>4462</v>
      </c>
      <c r="I8" s="162">
        <v>4517</v>
      </c>
      <c r="J8" s="162">
        <v>4714</v>
      </c>
      <c r="K8" s="90">
        <v>2561</v>
      </c>
      <c r="L8" s="87">
        <f>L24</f>
        <v>4063</v>
      </c>
      <c r="M8" s="90">
        <f>M24</f>
        <v>4063</v>
      </c>
      <c r="N8" s="90">
        <f>N24</f>
        <v>4232</v>
      </c>
      <c r="O8" s="30">
        <v>3591</v>
      </c>
      <c r="P8" s="30">
        <v>3509</v>
      </c>
      <c r="Q8" s="30">
        <v>3795</v>
      </c>
      <c r="R8" s="30">
        <v>4072</v>
      </c>
      <c r="S8" s="30">
        <v>4420</v>
      </c>
      <c r="T8" s="5">
        <v>5126</v>
      </c>
    </row>
    <row r="9" spans="1:20" ht="12.75">
      <c r="A9" s="59" t="s">
        <v>35</v>
      </c>
      <c r="B9" s="78">
        <f aca="true" t="shared" si="0" ref="B9:K9">B36</f>
        <v>0</v>
      </c>
      <c r="C9" s="78">
        <f t="shared" si="0"/>
        <v>0</v>
      </c>
      <c r="D9" s="78">
        <f t="shared" si="0"/>
        <v>0</v>
      </c>
      <c r="E9" s="78">
        <f t="shared" si="0"/>
        <v>0</v>
      </c>
      <c r="F9" s="13">
        <f t="shared" si="0"/>
        <v>0</v>
      </c>
      <c r="G9" s="13">
        <f t="shared" si="0"/>
        <v>0</v>
      </c>
      <c r="H9" s="13">
        <f t="shared" si="0"/>
        <v>0</v>
      </c>
      <c r="I9" s="13">
        <f t="shared" si="0"/>
        <v>0</v>
      </c>
      <c r="J9" s="13">
        <f t="shared" si="0"/>
        <v>0</v>
      </c>
      <c r="K9" s="78">
        <f t="shared" si="0"/>
        <v>2139</v>
      </c>
      <c r="L9" s="12">
        <v>2603</v>
      </c>
      <c r="M9" s="13">
        <f aca="true" t="shared" si="1" ref="M9:T9">M36</f>
        <v>2603</v>
      </c>
      <c r="N9" s="13">
        <f t="shared" si="1"/>
        <v>3007</v>
      </c>
      <c r="O9" s="13">
        <f t="shared" si="1"/>
        <v>3017</v>
      </c>
      <c r="P9" s="13">
        <f t="shared" si="1"/>
        <v>3295</v>
      </c>
      <c r="Q9" s="13">
        <f t="shared" si="1"/>
        <v>3471</v>
      </c>
      <c r="R9" s="13">
        <f t="shared" si="1"/>
        <v>3641</v>
      </c>
      <c r="S9" s="167">
        <f t="shared" si="1"/>
        <v>3901</v>
      </c>
      <c r="T9" s="12">
        <f t="shared" si="1"/>
        <v>4137</v>
      </c>
    </row>
    <row r="10" spans="1:20" ht="12.75">
      <c r="A10" s="59" t="s">
        <v>43</v>
      </c>
      <c r="B10" s="78">
        <f aca="true" t="shared" si="2" ref="B10:K10">B48</f>
        <v>0</v>
      </c>
      <c r="C10" s="78">
        <f t="shared" si="2"/>
        <v>0</v>
      </c>
      <c r="D10" s="78">
        <f t="shared" si="2"/>
        <v>0</v>
      </c>
      <c r="E10" s="78">
        <f t="shared" si="2"/>
        <v>0</v>
      </c>
      <c r="F10" s="13">
        <f t="shared" si="2"/>
        <v>0</v>
      </c>
      <c r="G10" s="13">
        <f t="shared" si="2"/>
        <v>0</v>
      </c>
      <c r="H10" s="13">
        <f t="shared" si="2"/>
        <v>0</v>
      </c>
      <c r="I10" s="13">
        <f t="shared" si="2"/>
        <v>0</v>
      </c>
      <c r="J10" s="13">
        <f t="shared" si="2"/>
        <v>0</v>
      </c>
      <c r="K10" s="78">
        <f t="shared" si="2"/>
        <v>0</v>
      </c>
      <c r="L10" s="12"/>
      <c r="M10" s="13">
        <f aca="true" t="shared" si="3" ref="M10:T10">M48</f>
        <v>0</v>
      </c>
      <c r="N10" s="13">
        <f t="shared" si="3"/>
        <v>0</v>
      </c>
      <c r="O10" s="13">
        <f t="shared" si="3"/>
        <v>0</v>
      </c>
      <c r="P10" s="13">
        <f t="shared" si="3"/>
        <v>0</v>
      </c>
      <c r="Q10" s="13">
        <f t="shared" si="3"/>
        <v>0</v>
      </c>
      <c r="R10" s="13">
        <f t="shared" si="3"/>
        <v>0</v>
      </c>
      <c r="S10" s="167">
        <f t="shared" si="3"/>
        <v>0</v>
      </c>
      <c r="T10" s="12">
        <f t="shared" si="3"/>
        <v>0</v>
      </c>
    </row>
    <row r="11" spans="1:20" ht="12.75">
      <c r="A11" s="59" t="s">
        <v>44</v>
      </c>
      <c r="B11" s="78">
        <f aca="true" t="shared" si="4" ref="B11:K11">B42</f>
        <v>0</v>
      </c>
      <c r="C11" s="78">
        <f t="shared" si="4"/>
        <v>0</v>
      </c>
      <c r="D11" s="78">
        <f t="shared" si="4"/>
        <v>0</v>
      </c>
      <c r="E11" s="78">
        <f t="shared" si="4"/>
        <v>0</v>
      </c>
      <c r="F11" s="13">
        <f t="shared" si="4"/>
        <v>0</v>
      </c>
      <c r="G11" s="13">
        <f t="shared" si="4"/>
        <v>0</v>
      </c>
      <c r="H11" s="13">
        <f t="shared" si="4"/>
        <v>0</v>
      </c>
      <c r="I11" s="13">
        <f t="shared" si="4"/>
        <v>0</v>
      </c>
      <c r="J11" s="13">
        <f t="shared" si="4"/>
        <v>0</v>
      </c>
      <c r="K11" s="78">
        <f t="shared" si="4"/>
        <v>0</v>
      </c>
      <c r="L11" s="12"/>
      <c r="M11" s="13">
        <f aca="true" t="shared" si="5" ref="M11:T11">M42</f>
        <v>0</v>
      </c>
      <c r="N11" s="13">
        <f t="shared" si="5"/>
        <v>0</v>
      </c>
      <c r="O11" s="13">
        <f t="shared" si="5"/>
        <v>0</v>
      </c>
      <c r="P11" s="13">
        <f t="shared" si="5"/>
        <v>0</v>
      </c>
      <c r="Q11" s="13">
        <f t="shared" si="5"/>
        <v>0</v>
      </c>
      <c r="R11" s="13">
        <f t="shared" si="5"/>
        <v>0</v>
      </c>
      <c r="S11" s="167">
        <f t="shared" si="5"/>
        <v>0</v>
      </c>
      <c r="T11" s="12">
        <f t="shared" si="5"/>
        <v>0</v>
      </c>
    </row>
    <row r="12" spans="1:20" ht="12.75">
      <c r="A12" s="47" t="s">
        <v>25</v>
      </c>
      <c r="B12" s="30"/>
      <c r="C12" s="30"/>
      <c r="D12" s="30"/>
      <c r="E12" s="30"/>
      <c r="F12" s="30"/>
      <c r="G12" s="30">
        <v>526</v>
      </c>
      <c r="H12" s="30">
        <v>266</v>
      </c>
      <c r="I12" s="30"/>
      <c r="J12" s="30"/>
      <c r="K12" s="90"/>
      <c r="L12" s="5"/>
      <c r="M12" s="30"/>
      <c r="N12" s="30"/>
      <c r="O12" s="30"/>
      <c r="P12" s="30"/>
      <c r="Q12" s="30"/>
      <c r="R12" s="30"/>
      <c r="S12" s="30"/>
      <c r="T12" s="5"/>
    </row>
    <row r="13" spans="1:20" ht="12.75">
      <c r="A13" s="46" t="s">
        <v>24</v>
      </c>
      <c r="B13" s="29"/>
      <c r="C13" s="29"/>
      <c r="D13" s="29"/>
      <c r="E13" s="29"/>
      <c r="F13" s="29"/>
      <c r="G13" s="29">
        <f aca="true" t="shared" si="6" ref="G13:L13">SUM(G7:G12)</f>
        <v>5142</v>
      </c>
      <c r="H13" s="29">
        <f t="shared" si="6"/>
        <v>7462</v>
      </c>
      <c r="I13" s="29">
        <f t="shared" si="6"/>
        <v>7305</v>
      </c>
      <c r="J13" s="29">
        <f t="shared" si="6"/>
        <v>7435</v>
      </c>
      <c r="K13" s="292">
        <f t="shared" si="6"/>
        <v>4700</v>
      </c>
      <c r="L13" s="28">
        <f t="shared" si="6"/>
        <v>6666</v>
      </c>
      <c r="M13" s="29">
        <f>SUM(M6:M12)</f>
        <v>6666</v>
      </c>
      <c r="N13" s="29">
        <f>SUM(N6:N12)</f>
        <v>7239</v>
      </c>
      <c r="O13" s="29">
        <f>SUM(O6:O12)+3016</f>
        <v>9624</v>
      </c>
      <c r="P13" s="29">
        <f>SUM(P6:P12)+3295</f>
        <v>10099</v>
      </c>
      <c r="Q13" s="29">
        <f>3470+SUM(Q6:Q12)</f>
        <v>10736</v>
      </c>
      <c r="R13" s="29">
        <f>SUM(R6:R12)+3641</f>
        <v>11354</v>
      </c>
      <c r="S13" s="29">
        <f>SUM(S6:S12)+3901</f>
        <v>21740</v>
      </c>
      <c r="T13" s="28">
        <f>SUM(T6:T12)+4137</f>
        <v>24275</v>
      </c>
    </row>
    <row r="14" spans="1:20" ht="12.75">
      <c r="A14" s="47" t="s">
        <v>23</v>
      </c>
      <c r="B14" s="30"/>
      <c r="C14" s="30"/>
      <c r="D14" s="30"/>
      <c r="E14" s="30"/>
      <c r="F14" s="30"/>
      <c r="G14" s="30"/>
      <c r="H14" s="30"/>
      <c r="I14" s="30"/>
      <c r="J14" s="30"/>
      <c r="K14" s="90"/>
      <c r="L14" s="5"/>
      <c r="M14" s="30"/>
      <c r="N14" s="30"/>
      <c r="O14" s="30"/>
      <c r="P14" s="30"/>
      <c r="Q14" s="30"/>
      <c r="R14" s="30"/>
      <c r="S14" s="30"/>
      <c r="T14" s="5"/>
    </row>
    <row r="15" spans="1:20" ht="12.75">
      <c r="A15" s="48" t="s">
        <v>22</v>
      </c>
      <c r="B15" s="17">
        <v>11285</v>
      </c>
      <c r="C15" s="17">
        <v>11442</v>
      </c>
      <c r="D15" s="17">
        <v>12334</v>
      </c>
      <c r="E15" s="17">
        <v>12596</v>
      </c>
      <c r="F15" s="17">
        <v>13531</v>
      </c>
      <c r="G15" s="17">
        <f aca="true" t="shared" si="7" ref="G15:L15">G13+G5</f>
        <v>14525</v>
      </c>
      <c r="H15" s="17">
        <f t="shared" si="7"/>
        <v>16924</v>
      </c>
      <c r="I15" s="17">
        <f t="shared" si="7"/>
        <v>17635</v>
      </c>
      <c r="J15" s="17">
        <f t="shared" si="7"/>
        <v>18684</v>
      </c>
      <c r="K15" s="114">
        <f t="shared" si="7"/>
        <v>16823</v>
      </c>
      <c r="L15" s="16">
        <f t="shared" si="7"/>
        <v>17203</v>
      </c>
      <c r="M15" s="17">
        <v>17203</v>
      </c>
      <c r="N15" s="17">
        <f>SUM(N5,N13)</f>
        <v>18537</v>
      </c>
      <c r="O15" s="17">
        <v>19194</v>
      </c>
      <c r="P15" s="17">
        <v>21170</v>
      </c>
      <c r="Q15" s="17">
        <v>22677</v>
      </c>
      <c r="R15" s="17">
        <v>25011</v>
      </c>
      <c r="S15" s="17">
        <v>37028</v>
      </c>
      <c r="T15" s="16">
        <v>40737</v>
      </c>
    </row>
    <row r="16" spans="1:20" ht="12.75">
      <c r="A16" s="5"/>
      <c r="B16" s="30"/>
      <c r="C16" s="30"/>
      <c r="D16" s="30"/>
      <c r="E16" s="30"/>
      <c r="F16" s="30"/>
      <c r="G16" s="30"/>
      <c r="H16" s="30"/>
      <c r="I16" s="30"/>
      <c r="J16" s="30"/>
      <c r="K16" s="90"/>
      <c r="L16" s="5"/>
      <c r="M16" s="30"/>
      <c r="N16" s="30"/>
      <c r="O16" s="30"/>
      <c r="P16" s="30"/>
      <c r="Q16" s="30"/>
      <c r="R16" s="30"/>
      <c r="S16" s="30"/>
      <c r="T16" s="5"/>
    </row>
    <row r="17" spans="1:20" ht="12.75">
      <c r="A17" s="41" t="s">
        <v>21</v>
      </c>
      <c r="B17" s="11"/>
      <c r="C17" s="11"/>
      <c r="D17" s="11"/>
      <c r="E17" s="11"/>
      <c r="F17" s="11"/>
      <c r="G17" s="11"/>
      <c r="H17" s="11"/>
      <c r="I17" s="11"/>
      <c r="J17" s="11"/>
      <c r="K17" s="293"/>
      <c r="L17" s="10"/>
      <c r="M17" s="11"/>
      <c r="N17" s="11"/>
      <c r="O17" s="11"/>
      <c r="P17" s="11"/>
      <c r="Q17" s="11"/>
      <c r="R17" s="11"/>
      <c r="S17" s="11"/>
      <c r="T17" s="10"/>
    </row>
    <row r="18" spans="1:20" ht="12.75">
      <c r="A18" s="47" t="s">
        <v>12</v>
      </c>
      <c r="B18" s="30"/>
      <c r="C18" s="30"/>
      <c r="D18" s="30"/>
      <c r="E18" s="30"/>
      <c r="F18" s="30"/>
      <c r="G18" s="30">
        <f aca="true" t="shared" si="8" ref="G18:L18">G7</f>
        <v>1953</v>
      </c>
      <c r="H18" s="30">
        <f t="shared" si="8"/>
        <v>2734</v>
      </c>
      <c r="I18" s="30">
        <f t="shared" si="8"/>
        <v>2788</v>
      </c>
      <c r="J18" s="30">
        <f t="shared" si="8"/>
        <v>2721</v>
      </c>
      <c r="K18" s="90">
        <f t="shared" si="8"/>
        <v>0</v>
      </c>
      <c r="L18" s="5">
        <f t="shared" si="8"/>
        <v>0</v>
      </c>
      <c r="M18" s="30"/>
      <c r="N18" s="30"/>
      <c r="O18" s="30"/>
      <c r="P18" s="30"/>
      <c r="Q18" s="30"/>
      <c r="R18" s="30"/>
      <c r="S18" s="30">
        <f>S7</f>
        <v>9518</v>
      </c>
      <c r="T18" s="5">
        <f>T7</f>
        <v>10875</v>
      </c>
    </row>
    <row r="19" spans="1:20" ht="25.5">
      <c r="A19" s="47" t="s">
        <v>16</v>
      </c>
      <c r="B19" s="30">
        <v>1033</v>
      </c>
      <c r="C19" s="30">
        <v>1022</v>
      </c>
      <c r="D19" s="30">
        <v>1007</v>
      </c>
      <c r="E19" s="30">
        <v>1016</v>
      </c>
      <c r="F19" s="30">
        <v>1025</v>
      </c>
      <c r="G19" s="30"/>
      <c r="H19" s="30">
        <v>1400</v>
      </c>
      <c r="I19" s="30">
        <v>1491</v>
      </c>
      <c r="J19" s="30">
        <v>1289</v>
      </c>
      <c r="K19" s="90">
        <v>4017</v>
      </c>
      <c r="L19" s="5">
        <v>4727</v>
      </c>
      <c r="M19" s="30">
        <v>4727</v>
      </c>
      <c r="N19" s="30">
        <v>4530</v>
      </c>
      <c r="O19" s="30">
        <v>5298</v>
      </c>
      <c r="P19" s="30">
        <v>5744</v>
      </c>
      <c r="Q19" s="30">
        <v>6520</v>
      </c>
      <c r="R19" s="30">
        <v>7999</v>
      </c>
      <c r="S19" s="30">
        <v>690</v>
      </c>
      <c r="T19" s="5">
        <v>740</v>
      </c>
    </row>
    <row r="20" spans="1:20" ht="25.5">
      <c r="A20" s="46" t="s">
        <v>20</v>
      </c>
      <c r="B20" s="29">
        <f aca="true" t="shared" si="9" ref="B20:L20">SUM(B18:B19)</f>
        <v>1033</v>
      </c>
      <c r="C20" s="29">
        <f t="shared" si="9"/>
        <v>1022</v>
      </c>
      <c r="D20" s="29">
        <f t="shared" si="9"/>
        <v>1007</v>
      </c>
      <c r="E20" s="29">
        <f t="shared" si="9"/>
        <v>1016</v>
      </c>
      <c r="F20" s="29">
        <f t="shared" si="9"/>
        <v>1025</v>
      </c>
      <c r="G20" s="29">
        <f t="shared" si="9"/>
        <v>1953</v>
      </c>
      <c r="H20" s="29">
        <f t="shared" si="9"/>
        <v>4134</v>
      </c>
      <c r="I20" s="29">
        <f t="shared" si="9"/>
        <v>4279</v>
      </c>
      <c r="J20" s="29">
        <f t="shared" si="9"/>
        <v>4010</v>
      </c>
      <c r="K20" s="292">
        <f t="shared" si="9"/>
        <v>4017</v>
      </c>
      <c r="L20" s="28">
        <f t="shared" si="9"/>
        <v>4727</v>
      </c>
      <c r="M20" s="29">
        <f aca="true" t="shared" si="10" ref="M20:T20">SUM(M18:M19)</f>
        <v>4727</v>
      </c>
      <c r="N20" s="29">
        <f t="shared" si="10"/>
        <v>4530</v>
      </c>
      <c r="O20" s="29">
        <f t="shared" si="10"/>
        <v>5298</v>
      </c>
      <c r="P20" s="29">
        <f t="shared" si="10"/>
        <v>5744</v>
      </c>
      <c r="Q20" s="29">
        <f t="shared" si="10"/>
        <v>6520</v>
      </c>
      <c r="R20" s="29">
        <f t="shared" si="10"/>
        <v>7999</v>
      </c>
      <c r="S20" s="29">
        <f t="shared" si="10"/>
        <v>10208</v>
      </c>
      <c r="T20" s="28">
        <f t="shared" si="10"/>
        <v>11615</v>
      </c>
    </row>
    <row r="21" spans="1:20" ht="12.75">
      <c r="A21" s="49" t="s">
        <v>14</v>
      </c>
      <c r="B21" s="150">
        <f>B20-B65</f>
        <v>-1268</v>
      </c>
      <c r="C21" s="150">
        <f>C20-C65</f>
        <v>-2401</v>
      </c>
      <c r="D21" s="150">
        <f>D20-D65</f>
        <v>-2559</v>
      </c>
      <c r="E21" s="71">
        <f>E20-2654</f>
        <v>-1638</v>
      </c>
      <c r="F21" s="71">
        <f aca="true" t="shared" si="11" ref="F21:L21">F20-F65</f>
        <v>-2473</v>
      </c>
      <c r="G21" s="71">
        <f t="shared" si="11"/>
        <v>1953</v>
      </c>
      <c r="H21" s="71">
        <f t="shared" si="11"/>
        <v>835</v>
      </c>
      <c r="I21" s="71">
        <f t="shared" si="11"/>
        <v>56</v>
      </c>
      <c r="J21" s="71">
        <f t="shared" si="11"/>
        <v>-426</v>
      </c>
      <c r="K21" s="292">
        <f t="shared" si="11"/>
        <v>-281</v>
      </c>
      <c r="L21" s="18">
        <f t="shared" si="11"/>
        <v>-205</v>
      </c>
      <c r="M21" s="71">
        <v>-205</v>
      </c>
      <c r="N21" s="71">
        <f>N20-4681</f>
        <v>-151</v>
      </c>
      <c r="O21" s="71">
        <f>O20-4847</f>
        <v>451</v>
      </c>
      <c r="P21" s="71">
        <f>P20-5788</f>
        <v>-44</v>
      </c>
      <c r="Q21" s="71">
        <f>Q20-8331</f>
        <v>-1811</v>
      </c>
      <c r="R21" s="71">
        <f>R20-9021</f>
        <v>-1022</v>
      </c>
      <c r="S21" s="71">
        <f>S20-9894</f>
        <v>314</v>
      </c>
      <c r="T21" s="18">
        <f>T20-T65</f>
        <v>1088</v>
      </c>
    </row>
    <row r="22" spans="1:20" ht="12.75">
      <c r="A22" s="50"/>
      <c r="B22" s="150"/>
      <c r="C22" s="150"/>
      <c r="D22" s="150"/>
      <c r="E22" s="71"/>
      <c r="F22" s="71"/>
      <c r="G22" s="71"/>
      <c r="H22" s="71"/>
      <c r="I22" s="71"/>
      <c r="J22" s="71"/>
      <c r="K22" s="292"/>
      <c r="L22" s="18"/>
      <c r="M22" s="71"/>
      <c r="N22" s="71"/>
      <c r="O22" s="71"/>
      <c r="P22" s="71"/>
      <c r="Q22" s="71"/>
      <c r="R22" s="71"/>
      <c r="S22" s="71"/>
      <c r="T22" s="18"/>
    </row>
    <row r="23" spans="1:20" ht="12.75">
      <c r="A23" s="38" t="s">
        <v>19</v>
      </c>
      <c r="B23" s="82"/>
      <c r="C23" s="82"/>
      <c r="D23" s="82"/>
      <c r="E23" s="82"/>
      <c r="F23" s="82"/>
      <c r="G23" s="82"/>
      <c r="H23" s="82"/>
      <c r="I23" s="82"/>
      <c r="J23" s="82"/>
      <c r="K23" s="81"/>
      <c r="L23" s="83"/>
      <c r="M23" s="82"/>
      <c r="N23" s="82"/>
      <c r="O23" s="82"/>
      <c r="P23" s="82"/>
      <c r="Q23" s="82"/>
      <c r="R23" s="82"/>
      <c r="S23" s="82"/>
      <c r="T23" s="83"/>
    </row>
    <row r="24" spans="1:20" ht="12.75">
      <c r="A24" s="47" t="s">
        <v>12</v>
      </c>
      <c r="B24" s="30"/>
      <c r="C24" s="30"/>
      <c r="D24" s="30"/>
      <c r="E24" s="30"/>
      <c r="F24" s="30"/>
      <c r="G24" s="30">
        <f>G8</f>
        <v>2663</v>
      </c>
      <c r="H24" s="30">
        <f>H8</f>
        <v>4462</v>
      </c>
      <c r="I24" s="30">
        <f>I8</f>
        <v>4517</v>
      </c>
      <c r="J24" s="30">
        <f>J8</f>
        <v>4714</v>
      </c>
      <c r="K24" s="90">
        <v>2561</v>
      </c>
      <c r="L24" s="87">
        <v>4063</v>
      </c>
      <c r="M24" s="90">
        <v>4063</v>
      </c>
      <c r="N24" s="90">
        <v>4232</v>
      </c>
      <c r="O24" s="30">
        <f aca="true" t="shared" si="12" ref="O24:T24">O8</f>
        <v>3591</v>
      </c>
      <c r="P24" s="30">
        <f t="shared" si="12"/>
        <v>3509</v>
      </c>
      <c r="Q24" s="30">
        <f t="shared" si="12"/>
        <v>3795</v>
      </c>
      <c r="R24" s="30">
        <f t="shared" si="12"/>
        <v>4072</v>
      </c>
      <c r="S24" s="30">
        <f t="shared" si="12"/>
        <v>4420</v>
      </c>
      <c r="T24" s="67">
        <f t="shared" si="12"/>
        <v>5126</v>
      </c>
    </row>
    <row r="25" spans="1:20" ht="25.5">
      <c r="A25" s="47" t="s">
        <v>16</v>
      </c>
      <c r="B25" s="64">
        <v>231</v>
      </c>
      <c r="C25" s="64">
        <v>322</v>
      </c>
      <c r="D25" s="162">
        <v>287</v>
      </c>
      <c r="E25" s="162">
        <v>274</v>
      </c>
      <c r="F25" s="30">
        <v>160</v>
      </c>
      <c r="G25" s="30"/>
      <c r="H25" s="30">
        <v>378</v>
      </c>
      <c r="I25" s="30">
        <v>424</v>
      </c>
      <c r="J25" s="30">
        <v>1717</v>
      </c>
      <c r="K25" s="90">
        <v>1707</v>
      </c>
      <c r="L25" s="5">
        <v>2397</v>
      </c>
      <c r="M25" s="30">
        <v>2397</v>
      </c>
      <c r="N25" s="30">
        <v>2032</v>
      </c>
      <c r="O25" s="30">
        <f>O26-O24</f>
        <v>2286</v>
      </c>
      <c r="P25" s="30">
        <f>P26-P24</f>
        <v>2490</v>
      </c>
      <c r="Q25" s="30">
        <f>Q26-Q24</f>
        <v>3061</v>
      </c>
      <c r="R25" s="30">
        <f>R26-R24</f>
        <v>3723</v>
      </c>
      <c r="S25" s="30">
        <f>S26-S24</f>
        <v>3921</v>
      </c>
      <c r="T25" s="5">
        <v>3785</v>
      </c>
    </row>
    <row r="26" spans="1:20" ht="12.75">
      <c r="A26" s="46" t="s">
        <v>18</v>
      </c>
      <c r="B26" s="291">
        <f aca="true" t="shared" si="13" ref="B26:L26">SUM(B24:B25)</f>
        <v>231</v>
      </c>
      <c r="C26" s="291">
        <f t="shared" si="13"/>
        <v>322</v>
      </c>
      <c r="D26" s="152">
        <f t="shared" si="13"/>
        <v>287</v>
      </c>
      <c r="E26" s="152">
        <f t="shared" si="13"/>
        <v>274</v>
      </c>
      <c r="F26" s="152">
        <f t="shared" si="13"/>
        <v>160</v>
      </c>
      <c r="G26" s="152">
        <f t="shared" si="13"/>
        <v>2663</v>
      </c>
      <c r="H26" s="152">
        <f t="shared" si="13"/>
        <v>4840</v>
      </c>
      <c r="I26" s="152">
        <f t="shared" si="13"/>
        <v>4941</v>
      </c>
      <c r="J26" s="152">
        <f t="shared" si="13"/>
        <v>6431</v>
      </c>
      <c r="K26" s="152">
        <f t="shared" si="13"/>
        <v>4268</v>
      </c>
      <c r="L26" s="153">
        <f t="shared" si="13"/>
        <v>6460</v>
      </c>
      <c r="M26" s="29">
        <f>SUM(M24:M25)</f>
        <v>6460</v>
      </c>
      <c r="N26" s="29">
        <f>SUM(N24:N25)</f>
        <v>6264</v>
      </c>
      <c r="O26" s="29">
        <v>5877</v>
      </c>
      <c r="P26" s="29">
        <v>5999</v>
      </c>
      <c r="Q26" s="29">
        <v>6856</v>
      </c>
      <c r="R26" s="29">
        <v>7795</v>
      </c>
      <c r="S26" s="29">
        <v>8341</v>
      </c>
      <c r="T26" s="28">
        <f>SUM(T24:T25)</f>
        <v>8911</v>
      </c>
    </row>
    <row r="27" spans="1:20" ht="12.75">
      <c r="A27" s="51" t="s">
        <v>14</v>
      </c>
      <c r="B27" s="64">
        <f>B26-1690</f>
        <v>-1459</v>
      </c>
      <c r="C27" s="64">
        <f>C26-2893</f>
        <v>-2571</v>
      </c>
      <c r="D27" s="71">
        <f>D26-2904+52+380+336</f>
        <v>-1849</v>
      </c>
      <c r="E27" s="71">
        <f>E26-1157</f>
        <v>-883</v>
      </c>
      <c r="F27" s="71">
        <f>F26-1347-1291</f>
        <v>-2478</v>
      </c>
      <c r="G27" s="71"/>
      <c r="H27" s="71">
        <f>H25-2825</f>
        <v>-2447</v>
      </c>
      <c r="I27" s="71">
        <f>I26-3397</f>
        <v>1544</v>
      </c>
      <c r="J27" s="71">
        <f>J26-4283</f>
        <v>2148</v>
      </c>
      <c r="K27" s="71">
        <f>K26-5651</f>
        <v>-1383</v>
      </c>
      <c r="L27" s="18">
        <f>L26-5154</f>
        <v>1306</v>
      </c>
      <c r="M27" s="71">
        <f>M26-5154</f>
        <v>1306</v>
      </c>
      <c r="N27" s="71">
        <f>N26-5389</f>
        <v>875</v>
      </c>
      <c r="O27" s="71">
        <f>O26-5154</f>
        <v>723</v>
      </c>
      <c r="P27" s="71">
        <f>P26-4872</f>
        <v>1127</v>
      </c>
      <c r="Q27" s="71">
        <f>Q26-5506</f>
        <v>1350</v>
      </c>
      <c r="R27" s="71">
        <f>R26-6266</f>
        <v>1529</v>
      </c>
      <c r="S27" s="71">
        <f>S26-6342</f>
        <v>1999</v>
      </c>
      <c r="T27" s="18">
        <f>T26-6876</f>
        <v>2035</v>
      </c>
    </row>
    <row r="28" spans="1:20" ht="12.75">
      <c r="A28" s="50"/>
      <c r="B28" s="164"/>
      <c r="C28" s="164"/>
      <c r="D28" s="71"/>
      <c r="E28" s="71"/>
      <c r="F28" s="71"/>
      <c r="G28" s="71"/>
      <c r="H28" s="71"/>
      <c r="I28" s="71"/>
      <c r="J28" s="71"/>
      <c r="K28" s="71"/>
      <c r="L28" s="18"/>
      <c r="M28" s="71"/>
      <c r="N28" s="71"/>
      <c r="O28" s="71"/>
      <c r="P28" s="71"/>
      <c r="Q28" s="71"/>
      <c r="R28" s="71"/>
      <c r="S28" s="71"/>
      <c r="T28" s="18"/>
    </row>
    <row r="29" spans="1:20" ht="12.75">
      <c r="A29" s="33" t="s">
        <v>17</v>
      </c>
      <c r="B29" s="9"/>
      <c r="C29" s="9"/>
      <c r="D29" s="9"/>
      <c r="E29" s="9"/>
      <c r="F29" s="9"/>
      <c r="G29" s="9"/>
      <c r="H29" s="9"/>
      <c r="I29" s="9"/>
      <c r="J29" s="9"/>
      <c r="K29" s="9"/>
      <c r="L29" s="8"/>
      <c r="M29" s="9"/>
      <c r="N29" s="9"/>
      <c r="O29" s="9"/>
      <c r="P29" s="9"/>
      <c r="Q29" s="9"/>
      <c r="R29" s="9"/>
      <c r="S29" s="9"/>
      <c r="T29" s="8"/>
    </row>
    <row r="30" spans="1:20" ht="12.75">
      <c r="A30" s="47" t="s">
        <v>12</v>
      </c>
      <c r="B30" s="30"/>
      <c r="C30" s="30"/>
      <c r="D30" s="30"/>
      <c r="E30" s="30"/>
      <c r="F30" s="30"/>
      <c r="G30" s="30">
        <f>G12</f>
        <v>526</v>
      </c>
      <c r="H30" s="30">
        <f>H12</f>
        <v>266</v>
      </c>
      <c r="I30" s="30"/>
      <c r="J30" s="30"/>
      <c r="K30" s="30"/>
      <c r="L30" s="5"/>
      <c r="M30" s="30"/>
      <c r="N30" s="30"/>
      <c r="O30" s="30"/>
      <c r="P30" s="30"/>
      <c r="Q30" s="30"/>
      <c r="R30" s="30"/>
      <c r="S30" s="30"/>
      <c r="T30" s="5"/>
    </row>
    <row r="31" spans="1:20" ht="25.5">
      <c r="A31" s="47" t="s">
        <v>16</v>
      </c>
      <c r="B31" s="30">
        <f>401+71</f>
        <v>472</v>
      </c>
      <c r="C31" s="30">
        <f>533</f>
        <v>533</v>
      </c>
      <c r="D31" s="30">
        <v>725</v>
      </c>
      <c r="E31" s="30">
        <v>760</v>
      </c>
      <c r="F31" s="30">
        <v>651</v>
      </c>
      <c r="G31" s="30"/>
      <c r="H31" s="30">
        <v>1071</v>
      </c>
      <c r="I31" s="30">
        <v>1338</v>
      </c>
      <c r="J31" s="30">
        <v>1453</v>
      </c>
      <c r="K31" s="30">
        <v>1338</v>
      </c>
      <c r="L31" s="5">
        <v>1547</v>
      </c>
      <c r="M31" s="30">
        <f>1547</f>
        <v>1547</v>
      </c>
      <c r="N31" s="30">
        <v>1595</v>
      </c>
      <c r="O31" s="30">
        <v>1627</v>
      </c>
      <c r="P31" s="30">
        <v>2232</v>
      </c>
      <c r="Q31" s="30">
        <v>2951</v>
      </c>
      <c r="R31" s="30">
        <v>2496</v>
      </c>
      <c r="S31" s="30">
        <v>2012</v>
      </c>
      <c r="T31" s="5">
        <v>2208</v>
      </c>
    </row>
    <row r="32" spans="1:20" ht="12.75">
      <c r="A32" s="46" t="s">
        <v>15</v>
      </c>
      <c r="B32" s="152">
        <f aca="true" t="shared" si="14" ref="B32:L32">SUM(B30:B31)</f>
        <v>472</v>
      </c>
      <c r="C32" s="152">
        <f t="shared" si="14"/>
        <v>533</v>
      </c>
      <c r="D32" s="152">
        <f t="shared" si="14"/>
        <v>725</v>
      </c>
      <c r="E32" s="152">
        <f t="shared" si="14"/>
        <v>760</v>
      </c>
      <c r="F32" s="152">
        <f t="shared" si="14"/>
        <v>651</v>
      </c>
      <c r="G32" s="152">
        <f t="shared" si="14"/>
        <v>526</v>
      </c>
      <c r="H32" s="152">
        <f t="shared" si="14"/>
        <v>1337</v>
      </c>
      <c r="I32" s="152">
        <f t="shared" si="14"/>
        <v>1338</v>
      </c>
      <c r="J32" s="152">
        <f t="shared" si="14"/>
        <v>1453</v>
      </c>
      <c r="K32" s="152">
        <f t="shared" si="14"/>
        <v>1338</v>
      </c>
      <c r="L32" s="153">
        <f t="shared" si="14"/>
        <v>1547</v>
      </c>
      <c r="M32" s="29">
        <f aca="true" t="shared" si="15" ref="M32:T32">SUM(M30:M31)</f>
        <v>1547</v>
      </c>
      <c r="N32" s="29">
        <f t="shared" si="15"/>
        <v>1595</v>
      </c>
      <c r="O32" s="29">
        <f t="shared" si="15"/>
        <v>1627</v>
      </c>
      <c r="P32" s="29">
        <f t="shared" si="15"/>
        <v>2232</v>
      </c>
      <c r="Q32" s="29">
        <f t="shared" si="15"/>
        <v>2951</v>
      </c>
      <c r="R32" s="29">
        <f t="shared" si="15"/>
        <v>2496</v>
      </c>
      <c r="S32" s="29">
        <f t="shared" si="15"/>
        <v>2012</v>
      </c>
      <c r="T32" s="28">
        <f t="shared" si="15"/>
        <v>2208</v>
      </c>
    </row>
    <row r="33" spans="1:20" ht="12.75">
      <c r="A33" s="49" t="s">
        <v>14</v>
      </c>
      <c r="B33" s="71">
        <f>B32-1085</f>
        <v>-613</v>
      </c>
      <c r="C33" s="71">
        <f>C32-1231</f>
        <v>-698</v>
      </c>
      <c r="D33" s="71">
        <f>D32-1337</f>
        <v>-612</v>
      </c>
      <c r="E33" s="71">
        <f>E32-1317</f>
        <v>-557</v>
      </c>
      <c r="F33" s="71">
        <f>F32-1309</f>
        <v>-658</v>
      </c>
      <c r="G33" s="71"/>
      <c r="H33" s="71">
        <f>H32-1201</f>
        <v>136</v>
      </c>
      <c r="I33" s="71">
        <f>I32-1373</f>
        <v>-35</v>
      </c>
      <c r="J33" s="71">
        <f>J32-1676</f>
        <v>-223</v>
      </c>
      <c r="K33" s="71">
        <f>K32-1656</f>
        <v>-318</v>
      </c>
      <c r="L33" s="18">
        <f>L32-1636</f>
        <v>-89</v>
      </c>
      <c r="M33" s="71">
        <f>M32-1636</f>
        <v>-89</v>
      </c>
      <c r="N33" s="71">
        <f>N32-1668</f>
        <v>-73</v>
      </c>
      <c r="O33" s="71">
        <f>O32-1381</f>
        <v>246</v>
      </c>
      <c r="P33" s="71">
        <f>P32-1700</f>
        <v>532</v>
      </c>
      <c r="Q33" s="71">
        <f>Q32-2493</f>
        <v>458</v>
      </c>
      <c r="R33" s="71">
        <f>R32-2162</f>
        <v>334</v>
      </c>
      <c r="S33" s="71">
        <f>S32-2175</f>
        <v>-163</v>
      </c>
      <c r="T33" s="18">
        <f>T32-2106</f>
        <v>102</v>
      </c>
    </row>
    <row r="34" spans="1:20" ht="12.75">
      <c r="A34" s="5"/>
      <c r="B34" s="42"/>
      <c r="C34" s="42"/>
      <c r="D34" s="42"/>
      <c r="E34" s="42"/>
      <c r="F34" s="42"/>
      <c r="G34" s="42"/>
      <c r="H34" s="42"/>
      <c r="I34" s="42"/>
      <c r="J34" s="42"/>
      <c r="K34" s="42"/>
      <c r="L34" s="28"/>
      <c r="M34" s="42"/>
      <c r="N34" s="42"/>
      <c r="O34" s="42"/>
      <c r="P34" s="42"/>
      <c r="Q34" s="42"/>
      <c r="R34" s="42"/>
      <c r="S34" s="29"/>
      <c r="T34" s="28"/>
    </row>
    <row r="35" spans="1:20" ht="12.75">
      <c r="A35" s="38" t="s">
        <v>34</v>
      </c>
      <c r="B35" s="37"/>
      <c r="C35" s="37"/>
      <c r="D35" s="37"/>
      <c r="E35" s="37"/>
      <c r="F35" s="37"/>
      <c r="G35" s="37"/>
      <c r="H35" s="37"/>
      <c r="I35" s="37"/>
      <c r="J35" s="37"/>
      <c r="K35" s="37"/>
      <c r="L35" s="36"/>
      <c r="M35" s="37"/>
      <c r="N35" s="37"/>
      <c r="O35" s="37"/>
      <c r="P35" s="37"/>
      <c r="Q35" s="37"/>
      <c r="R35" s="37"/>
      <c r="S35" s="37"/>
      <c r="T35" s="36"/>
    </row>
    <row r="36" spans="1:20" ht="12.75">
      <c r="A36" s="47" t="s">
        <v>12</v>
      </c>
      <c r="B36" s="30"/>
      <c r="C36" s="30"/>
      <c r="D36" s="30"/>
      <c r="E36" s="30"/>
      <c r="F36" s="30"/>
      <c r="G36" s="30"/>
      <c r="H36" s="30"/>
      <c r="I36" s="30"/>
      <c r="J36" s="30"/>
      <c r="K36" s="30">
        <v>2139</v>
      </c>
      <c r="L36" s="5">
        <f>2603</f>
        <v>2603</v>
      </c>
      <c r="M36" s="5">
        <f>2603</f>
        <v>2603</v>
      </c>
      <c r="N36" s="30">
        <v>3007</v>
      </c>
      <c r="O36" s="30">
        <v>3017</v>
      </c>
      <c r="P36" s="30">
        <v>3295</v>
      </c>
      <c r="Q36" s="30">
        <v>3471</v>
      </c>
      <c r="R36" s="30">
        <v>3641</v>
      </c>
      <c r="S36" s="30">
        <v>3901</v>
      </c>
      <c r="T36" s="5">
        <v>4137</v>
      </c>
    </row>
    <row r="37" spans="1:20" ht="25.5">
      <c r="A37" s="47" t="s">
        <v>16</v>
      </c>
      <c r="B37" s="30"/>
      <c r="C37" s="30"/>
      <c r="D37" s="30"/>
      <c r="E37" s="30"/>
      <c r="F37" s="30"/>
      <c r="G37" s="30"/>
      <c r="H37" s="30"/>
      <c r="I37" s="30">
        <v>44</v>
      </c>
      <c r="J37" s="30">
        <v>37</v>
      </c>
      <c r="K37" s="30">
        <v>2</v>
      </c>
      <c r="L37" s="5"/>
      <c r="M37" s="30"/>
      <c r="N37" s="30"/>
      <c r="O37" s="30">
        <v>66</v>
      </c>
      <c r="P37" s="30">
        <v>43</v>
      </c>
      <c r="Q37" s="30">
        <f>201+53</f>
        <v>254</v>
      </c>
      <c r="R37" s="30">
        <f>401+114</f>
        <v>515</v>
      </c>
      <c r="S37" s="30">
        <f>446+28</f>
        <v>474</v>
      </c>
      <c r="T37" s="5">
        <f>560+14</f>
        <v>574</v>
      </c>
    </row>
    <row r="38" spans="1:20" ht="12.75">
      <c r="A38" s="46" t="s">
        <v>18</v>
      </c>
      <c r="B38" s="29">
        <f>SUM(B36:B37)</f>
        <v>0</v>
      </c>
      <c r="C38" s="29">
        <f aca="true" t="shared" si="16" ref="C38:L38">SUM(C36:C37)</f>
        <v>0</v>
      </c>
      <c r="D38" s="29">
        <f t="shared" si="16"/>
        <v>0</v>
      </c>
      <c r="E38" s="29">
        <f t="shared" si="16"/>
        <v>0</v>
      </c>
      <c r="F38" s="29">
        <f t="shared" si="16"/>
        <v>0</v>
      </c>
      <c r="G38" s="29">
        <f t="shared" si="16"/>
        <v>0</v>
      </c>
      <c r="H38" s="29">
        <f t="shared" si="16"/>
        <v>0</v>
      </c>
      <c r="I38" s="29">
        <f t="shared" si="16"/>
        <v>44</v>
      </c>
      <c r="J38" s="29">
        <f t="shared" si="16"/>
        <v>37</v>
      </c>
      <c r="K38" s="29">
        <f t="shared" si="16"/>
        <v>2141</v>
      </c>
      <c r="L38" s="29">
        <f t="shared" si="16"/>
        <v>2603</v>
      </c>
      <c r="M38" s="29">
        <f aca="true" t="shared" si="17" ref="M38:T38">SUM(M36:M37)</f>
        <v>2603</v>
      </c>
      <c r="N38" s="29">
        <f t="shared" si="17"/>
        <v>3007</v>
      </c>
      <c r="O38" s="29">
        <f t="shared" si="17"/>
        <v>3083</v>
      </c>
      <c r="P38" s="29">
        <f t="shared" si="17"/>
        <v>3338</v>
      </c>
      <c r="Q38" s="29">
        <f t="shared" si="17"/>
        <v>3725</v>
      </c>
      <c r="R38" s="29">
        <f t="shared" si="17"/>
        <v>4156</v>
      </c>
      <c r="S38" s="29">
        <f t="shared" si="17"/>
        <v>4375</v>
      </c>
      <c r="T38" s="28">
        <f t="shared" si="17"/>
        <v>4711</v>
      </c>
    </row>
    <row r="39" spans="1:20" ht="12.75">
      <c r="A39" s="51" t="s">
        <v>14</v>
      </c>
      <c r="B39" s="35">
        <f>B38-B66</f>
        <v>0</v>
      </c>
      <c r="C39" s="35">
        <f aca="true" t="shared" si="18" ref="C39:T39">C38-C66</f>
        <v>0</v>
      </c>
      <c r="D39" s="35">
        <f t="shared" si="18"/>
        <v>0</v>
      </c>
      <c r="E39" s="35">
        <f t="shared" si="18"/>
        <v>0</v>
      </c>
      <c r="F39" s="35">
        <f t="shared" si="18"/>
        <v>0</v>
      </c>
      <c r="G39" s="35">
        <f t="shared" si="18"/>
        <v>0</v>
      </c>
      <c r="H39" s="35">
        <f t="shared" si="18"/>
        <v>0</v>
      </c>
      <c r="I39" s="35">
        <f t="shared" si="18"/>
        <v>-1365</v>
      </c>
      <c r="J39" s="35">
        <f t="shared" si="18"/>
        <v>-2376</v>
      </c>
      <c r="K39" s="35">
        <f t="shared" si="18"/>
        <v>159</v>
      </c>
      <c r="L39" s="34">
        <f t="shared" si="18"/>
        <v>80</v>
      </c>
      <c r="M39" s="35">
        <f t="shared" si="18"/>
        <v>79</v>
      </c>
      <c r="N39" s="35">
        <f t="shared" si="18"/>
        <v>621</v>
      </c>
      <c r="O39" s="35">
        <f t="shared" si="18"/>
        <v>417</v>
      </c>
      <c r="P39" s="35">
        <f t="shared" si="18"/>
        <v>482</v>
      </c>
      <c r="Q39" s="35">
        <f t="shared" si="18"/>
        <v>653</v>
      </c>
      <c r="R39" s="35">
        <f t="shared" si="18"/>
        <v>1030</v>
      </c>
      <c r="S39" s="35">
        <f t="shared" si="18"/>
        <v>858</v>
      </c>
      <c r="T39" s="34">
        <f t="shared" si="18"/>
        <v>736</v>
      </c>
    </row>
    <row r="40" spans="1:20" ht="12.75">
      <c r="A40" s="50"/>
      <c r="B40" s="2"/>
      <c r="C40" s="2"/>
      <c r="D40" s="2"/>
      <c r="E40" s="2"/>
      <c r="F40" s="2"/>
      <c r="G40" s="2"/>
      <c r="H40" s="2"/>
      <c r="I40" s="2"/>
      <c r="J40" s="2"/>
      <c r="K40" s="2"/>
      <c r="L40" s="5"/>
      <c r="M40" s="2"/>
      <c r="N40" s="2"/>
      <c r="O40" s="2"/>
      <c r="P40" s="2"/>
      <c r="Q40" s="2"/>
      <c r="R40" s="2"/>
      <c r="S40" s="30"/>
      <c r="T40" s="5"/>
    </row>
    <row r="41" spans="1:20" ht="12.75">
      <c r="A41" s="38" t="s">
        <v>46</v>
      </c>
      <c r="B41" s="37"/>
      <c r="C41" s="37"/>
      <c r="D41" s="37"/>
      <c r="E41" s="37"/>
      <c r="F41" s="37"/>
      <c r="G41" s="37"/>
      <c r="H41" s="37"/>
      <c r="I41" s="37"/>
      <c r="J41" s="37"/>
      <c r="K41" s="37"/>
      <c r="L41" s="36"/>
      <c r="M41" s="37"/>
      <c r="N41" s="37"/>
      <c r="O41" s="37"/>
      <c r="P41" s="37"/>
      <c r="Q41" s="37"/>
      <c r="R41" s="37"/>
      <c r="S41" s="37"/>
      <c r="T41" s="36"/>
    </row>
    <row r="42" spans="1:20" ht="12.75">
      <c r="A42" s="47" t="s">
        <v>12</v>
      </c>
      <c r="B42" s="30"/>
      <c r="C42" s="30"/>
      <c r="D42" s="30"/>
      <c r="E42" s="30"/>
      <c r="F42" s="30"/>
      <c r="G42" s="30"/>
      <c r="H42" s="30"/>
      <c r="I42" s="30"/>
      <c r="J42" s="30"/>
      <c r="K42" s="30"/>
      <c r="L42" s="5"/>
      <c r="M42" s="30"/>
      <c r="N42" s="30"/>
      <c r="O42" s="30"/>
      <c r="P42" s="30"/>
      <c r="Q42" s="30"/>
      <c r="R42" s="30"/>
      <c r="S42" s="30"/>
      <c r="T42" s="5"/>
    </row>
    <row r="43" spans="1:20" ht="25.5">
      <c r="A43" s="47" t="s">
        <v>16</v>
      </c>
      <c r="B43" s="30"/>
      <c r="C43" s="30"/>
      <c r="D43" s="30"/>
      <c r="E43" s="30"/>
      <c r="F43" s="30">
        <v>697</v>
      </c>
      <c r="G43" s="30">
        <v>774</v>
      </c>
      <c r="H43" s="30">
        <v>702</v>
      </c>
      <c r="I43" s="30">
        <v>909</v>
      </c>
      <c r="J43" s="30">
        <f>830+373</f>
        <v>1203</v>
      </c>
      <c r="K43" s="30">
        <f>813+288</f>
        <v>1101</v>
      </c>
      <c r="L43" s="5">
        <f>519+827</f>
        <v>1346</v>
      </c>
      <c r="M43" s="5">
        <f>519+827</f>
        <v>1346</v>
      </c>
      <c r="N43" s="30">
        <f>831+439</f>
        <v>1270</v>
      </c>
      <c r="O43" s="30">
        <f>419+1011</f>
        <v>1430</v>
      </c>
      <c r="P43" s="30">
        <f>335+1160</f>
        <v>1495</v>
      </c>
      <c r="Q43" s="30">
        <f>135+1797</f>
        <v>1932</v>
      </c>
      <c r="R43" s="30">
        <f>368+1735</f>
        <v>2103</v>
      </c>
      <c r="S43" s="30">
        <f>257+2163</f>
        <v>2420</v>
      </c>
      <c r="T43" s="5">
        <f>288+2460</f>
        <v>2748</v>
      </c>
    </row>
    <row r="44" spans="1:20" ht="12.75">
      <c r="A44" s="46" t="s">
        <v>18</v>
      </c>
      <c r="B44" s="29">
        <f aca="true" t="shared" si="19" ref="B44:L44">SUM(B42:B43)</f>
        <v>0</v>
      </c>
      <c r="C44" s="29">
        <f t="shared" si="19"/>
        <v>0</v>
      </c>
      <c r="D44" s="29">
        <f t="shared" si="19"/>
        <v>0</v>
      </c>
      <c r="E44" s="29">
        <f t="shared" si="19"/>
        <v>0</v>
      </c>
      <c r="F44" s="29">
        <f t="shared" si="19"/>
        <v>697</v>
      </c>
      <c r="G44" s="29">
        <f t="shared" si="19"/>
        <v>774</v>
      </c>
      <c r="H44" s="29">
        <f t="shared" si="19"/>
        <v>702</v>
      </c>
      <c r="I44" s="29">
        <f t="shared" si="19"/>
        <v>909</v>
      </c>
      <c r="J44" s="29">
        <f t="shared" si="19"/>
        <v>1203</v>
      </c>
      <c r="K44" s="29">
        <f t="shared" si="19"/>
        <v>1101</v>
      </c>
      <c r="L44" s="29">
        <f t="shared" si="19"/>
        <v>1346</v>
      </c>
      <c r="M44" s="29">
        <f aca="true" t="shared" si="20" ref="M44:T44">SUM(M42:M43)</f>
        <v>1346</v>
      </c>
      <c r="N44" s="29">
        <f t="shared" si="20"/>
        <v>1270</v>
      </c>
      <c r="O44" s="29">
        <f t="shared" si="20"/>
        <v>1430</v>
      </c>
      <c r="P44" s="29">
        <f t="shared" si="20"/>
        <v>1495</v>
      </c>
      <c r="Q44" s="29">
        <f t="shared" si="20"/>
        <v>1932</v>
      </c>
      <c r="R44" s="29">
        <f t="shared" si="20"/>
        <v>2103</v>
      </c>
      <c r="S44" s="29">
        <f t="shared" si="20"/>
        <v>2420</v>
      </c>
      <c r="T44" s="28">
        <f t="shared" si="20"/>
        <v>2748</v>
      </c>
    </row>
    <row r="45" spans="1:21" ht="12.75">
      <c r="A45" s="51" t="s">
        <v>14</v>
      </c>
      <c r="B45" s="35">
        <f>B44-B67</f>
        <v>0</v>
      </c>
      <c r="C45" s="35">
        <f aca="true" t="shared" si="21" ref="C45:T45">C44-C67</f>
        <v>0</v>
      </c>
      <c r="D45" s="35">
        <f t="shared" si="21"/>
        <v>0</v>
      </c>
      <c r="E45" s="35">
        <f t="shared" si="21"/>
        <v>0</v>
      </c>
      <c r="F45" s="35">
        <f t="shared" si="21"/>
        <v>-1627</v>
      </c>
      <c r="G45" s="35">
        <f t="shared" si="21"/>
        <v>-2006</v>
      </c>
      <c r="H45" s="35">
        <f t="shared" si="21"/>
        <v>-2029</v>
      </c>
      <c r="I45" s="35">
        <f t="shared" si="21"/>
        <v>-2276</v>
      </c>
      <c r="J45" s="35">
        <f t="shared" si="21"/>
        <v>-1845</v>
      </c>
      <c r="K45" s="35">
        <f t="shared" si="21"/>
        <v>-1918</v>
      </c>
      <c r="L45" s="34">
        <f t="shared" si="21"/>
        <v>-1958</v>
      </c>
      <c r="M45" s="35">
        <f t="shared" si="21"/>
        <v>-1958</v>
      </c>
      <c r="N45" s="35">
        <f t="shared" si="21"/>
        <v>-2037</v>
      </c>
      <c r="O45" s="35">
        <f t="shared" si="21"/>
        <v>-2038</v>
      </c>
      <c r="P45" s="35">
        <f t="shared" si="21"/>
        <v>-2315</v>
      </c>
      <c r="Q45" s="35">
        <f t="shared" si="21"/>
        <v>-2822</v>
      </c>
      <c r="R45" s="35">
        <f t="shared" si="21"/>
        <v>-3208</v>
      </c>
      <c r="S45" s="35">
        <f t="shared" si="21"/>
        <v>-3575</v>
      </c>
      <c r="T45" s="34">
        <f t="shared" si="21"/>
        <v>-3779</v>
      </c>
      <c r="U45" s="102"/>
    </row>
    <row r="46" spans="1:20" ht="12.75">
      <c r="A46" s="50"/>
      <c r="B46" s="2"/>
      <c r="C46" s="2"/>
      <c r="D46" s="2"/>
      <c r="E46" s="2"/>
      <c r="F46" s="2"/>
      <c r="G46" s="2"/>
      <c r="H46" s="2"/>
      <c r="I46" s="2"/>
      <c r="J46" s="2"/>
      <c r="K46" s="2"/>
      <c r="L46" s="5"/>
      <c r="M46" s="2"/>
      <c r="N46" s="2"/>
      <c r="O46" s="2"/>
      <c r="P46" s="2"/>
      <c r="Q46" s="2"/>
      <c r="R46" s="2"/>
      <c r="S46" s="30"/>
      <c r="T46" s="5"/>
    </row>
    <row r="47" spans="1:20" ht="12.75">
      <c r="A47" s="38" t="s">
        <v>47</v>
      </c>
      <c r="B47" s="37"/>
      <c r="C47" s="37"/>
      <c r="D47" s="37"/>
      <c r="E47" s="37"/>
      <c r="F47" s="37"/>
      <c r="G47" s="37"/>
      <c r="H47" s="37"/>
      <c r="I47" s="37"/>
      <c r="J47" s="37"/>
      <c r="K47" s="37"/>
      <c r="L47" s="36"/>
      <c r="M47" s="37"/>
      <c r="N47" s="37"/>
      <c r="O47" s="37"/>
      <c r="P47" s="37"/>
      <c r="Q47" s="37"/>
      <c r="R47" s="37"/>
      <c r="S47" s="37"/>
      <c r="T47" s="36"/>
    </row>
    <row r="48" spans="1:20" ht="12.75">
      <c r="A48" s="47" t="s">
        <v>12</v>
      </c>
      <c r="B48" s="2"/>
      <c r="C48" s="2"/>
      <c r="D48" s="2"/>
      <c r="E48" s="2"/>
      <c r="F48" s="2"/>
      <c r="G48" s="2"/>
      <c r="H48" s="2"/>
      <c r="I48" s="2"/>
      <c r="J48" s="2"/>
      <c r="K48" s="2"/>
      <c r="L48" s="5"/>
      <c r="M48" s="2"/>
      <c r="N48" s="2"/>
      <c r="O48" s="2"/>
      <c r="P48" s="2"/>
      <c r="Q48" s="2"/>
      <c r="R48" s="2"/>
      <c r="S48" s="30"/>
      <c r="T48" s="5"/>
    </row>
    <row r="49" spans="1:20" ht="25.5">
      <c r="A49" s="47" t="s">
        <v>16</v>
      </c>
      <c r="B49" s="2"/>
      <c r="C49" s="2"/>
      <c r="D49" s="2"/>
      <c r="E49" s="2"/>
      <c r="F49" s="2"/>
      <c r="G49" s="2"/>
      <c r="H49" s="2"/>
      <c r="I49" s="2"/>
      <c r="J49" s="2"/>
      <c r="K49" s="2"/>
      <c r="L49" s="5"/>
      <c r="M49" s="2"/>
      <c r="N49" s="2"/>
      <c r="O49" s="2"/>
      <c r="P49" s="2"/>
      <c r="Q49" s="2"/>
      <c r="R49" s="2"/>
      <c r="S49" s="30"/>
      <c r="T49" s="5"/>
    </row>
    <row r="50" spans="1:20" ht="12.75">
      <c r="A50" s="46" t="s">
        <v>18</v>
      </c>
      <c r="B50" s="29">
        <f aca="true" t="shared" si="22" ref="B50:K50">SUM(B48:B49)</f>
        <v>0</v>
      </c>
      <c r="C50" s="29">
        <f t="shared" si="22"/>
        <v>0</v>
      </c>
      <c r="D50" s="29">
        <f t="shared" si="22"/>
        <v>0</v>
      </c>
      <c r="E50" s="29">
        <f t="shared" si="22"/>
        <v>0</v>
      </c>
      <c r="F50" s="29">
        <f t="shared" si="22"/>
        <v>0</v>
      </c>
      <c r="G50" s="29">
        <f t="shared" si="22"/>
        <v>0</v>
      </c>
      <c r="H50" s="29">
        <f t="shared" si="22"/>
        <v>0</v>
      </c>
      <c r="I50" s="29">
        <f t="shared" si="22"/>
        <v>0</v>
      </c>
      <c r="J50" s="29">
        <f t="shared" si="22"/>
        <v>0</v>
      </c>
      <c r="K50" s="29">
        <f t="shared" si="22"/>
        <v>0</v>
      </c>
      <c r="L50" s="28"/>
      <c r="M50" s="29">
        <f aca="true" t="shared" si="23" ref="M50:T50">SUM(M48:M49)</f>
        <v>0</v>
      </c>
      <c r="N50" s="29">
        <f t="shared" si="23"/>
        <v>0</v>
      </c>
      <c r="O50" s="29">
        <f t="shared" si="23"/>
        <v>0</v>
      </c>
      <c r="P50" s="29">
        <f t="shared" si="23"/>
        <v>0</v>
      </c>
      <c r="Q50" s="29">
        <f t="shared" si="23"/>
        <v>0</v>
      </c>
      <c r="R50" s="29">
        <f t="shared" si="23"/>
        <v>0</v>
      </c>
      <c r="S50" s="29">
        <f t="shared" si="23"/>
        <v>0</v>
      </c>
      <c r="T50" s="28">
        <f t="shared" si="23"/>
        <v>0</v>
      </c>
    </row>
    <row r="51" spans="1:20" ht="12.75">
      <c r="A51" s="51" t="s">
        <v>14</v>
      </c>
      <c r="B51" s="35">
        <f>B50-B68</f>
        <v>0</v>
      </c>
      <c r="C51" s="35">
        <f aca="true" t="shared" si="24" ref="C51:T51">C50-C68</f>
        <v>0</v>
      </c>
      <c r="D51" s="35">
        <f t="shared" si="24"/>
        <v>0</v>
      </c>
      <c r="E51" s="35">
        <f t="shared" si="24"/>
        <v>0</v>
      </c>
      <c r="F51" s="35">
        <f t="shared" si="24"/>
        <v>0</v>
      </c>
      <c r="G51" s="35">
        <f t="shared" si="24"/>
        <v>0</v>
      </c>
      <c r="H51" s="35">
        <f t="shared" si="24"/>
        <v>0</v>
      </c>
      <c r="I51" s="35">
        <f t="shared" si="24"/>
        <v>0</v>
      </c>
      <c r="J51" s="35">
        <f t="shared" si="24"/>
        <v>0</v>
      </c>
      <c r="K51" s="35">
        <f t="shared" si="24"/>
        <v>0</v>
      </c>
      <c r="L51" s="34">
        <f t="shared" si="24"/>
        <v>0</v>
      </c>
      <c r="M51" s="35">
        <f t="shared" si="24"/>
        <v>0</v>
      </c>
      <c r="N51" s="35">
        <f t="shared" si="24"/>
        <v>0</v>
      </c>
      <c r="O51" s="35">
        <f t="shared" si="24"/>
        <v>0</v>
      </c>
      <c r="P51" s="35">
        <f t="shared" si="24"/>
        <v>0</v>
      </c>
      <c r="Q51" s="35">
        <f t="shared" si="24"/>
        <v>0</v>
      </c>
      <c r="R51" s="35">
        <f t="shared" si="24"/>
        <v>0</v>
      </c>
      <c r="S51" s="35">
        <f t="shared" si="24"/>
        <v>0</v>
      </c>
      <c r="T51" s="34">
        <f t="shared" si="24"/>
        <v>0</v>
      </c>
    </row>
    <row r="52" spans="1:20" ht="12.75">
      <c r="A52" s="50"/>
      <c r="B52" s="71"/>
      <c r="C52" s="71"/>
      <c r="D52" s="71"/>
      <c r="E52" s="71"/>
      <c r="F52" s="71"/>
      <c r="G52" s="71"/>
      <c r="H52" s="71"/>
      <c r="I52" s="71"/>
      <c r="J52" s="71"/>
      <c r="K52" s="71"/>
      <c r="L52" s="18"/>
      <c r="M52" s="71"/>
      <c r="N52" s="71"/>
      <c r="O52" s="71"/>
      <c r="P52" s="71"/>
      <c r="Q52" s="71"/>
      <c r="R52" s="71"/>
      <c r="S52" s="71"/>
      <c r="T52" s="18"/>
    </row>
    <row r="53" spans="1:20" ht="12.75">
      <c r="A53" s="25" t="s">
        <v>13</v>
      </c>
      <c r="B53" s="154"/>
      <c r="C53" s="154"/>
      <c r="D53" s="154"/>
      <c r="E53" s="154"/>
      <c r="F53" s="154"/>
      <c r="G53" s="154"/>
      <c r="H53" s="154"/>
      <c r="I53" s="154"/>
      <c r="J53" s="154"/>
      <c r="K53" s="154"/>
      <c r="L53" s="155"/>
      <c r="M53" s="154"/>
      <c r="N53" s="154"/>
      <c r="O53" s="154"/>
      <c r="P53" s="154"/>
      <c r="Q53" s="154"/>
      <c r="R53" s="154"/>
      <c r="S53" s="154"/>
      <c r="T53" s="155"/>
    </row>
    <row r="54" spans="1:20" ht="12.75">
      <c r="A54" s="52" t="s">
        <v>12</v>
      </c>
      <c r="B54" s="66">
        <f>SUM(B18,B24,B30,B36,B42,B48)</f>
        <v>0</v>
      </c>
      <c r="C54" s="66">
        <f aca="true" t="shared" si="25" ref="C54:K57">SUM(C18,C24,C30,C36,C42,C48)</f>
        <v>0</v>
      </c>
      <c r="D54" s="66">
        <f t="shared" si="25"/>
        <v>0</v>
      </c>
      <c r="E54" s="66">
        <f t="shared" si="25"/>
        <v>0</v>
      </c>
      <c r="F54" s="66">
        <f t="shared" si="25"/>
        <v>0</v>
      </c>
      <c r="G54" s="66">
        <f t="shared" si="25"/>
        <v>5142</v>
      </c>
      <c r="H54" s="66">
        <f t="shared" si="25"/>
        <v>7462</v>
      </c>
      <c r="I54" s="66">
        <f t="shared" si="25"/>
        <v>7305</v>
      </c>
      <c r="J54" s="66">
        <f t="shared" si="25"/>
        <v>7435</v>
      </c>
      <c r="K54" s="66">
        <f t="shared" si="25"/>
        <v>4700</v>
      </c>
      <c r="L54" s="66">
        <f>SUM(L18,L24,L30,L36,L42,L48)</f>
        <v>6666</v>
      </c>
      <c r="M54" s="66">
        <f aca="true" t="shared" si="26" ref="M54:T57">SUM(M18,M24,M30,M36,M42,M48)</f>
        <v>6666</v>
      </c>
      <c r="N54" s="66">
        <f t="shared" si="26"/>
        <v>7239</v>
      </c>
      <c r="O54" s="66">
        <f t="shared" si="26"/>
        <v>6608</v>
      </c>
      <c r="P54" s="66">
        <f t="shared" si="26"/>
        <v>6804</v>
      </c>
      <c r="Q54" s="66">
        <f t="shared" si="26"/>
        <v>7266</v>
      </c>
      <c r="R54" s="66">
        <f t="shared" si="26"/>
        <v>7713</v>
      </c>
      <c r="S54" s="66">
        <f t="shared" si="26"/>
        <v>17839</v>
      </c>
      <c r="T54" s="67">
        <f t="shared" si="26"/>
        <v>20138</v>
      </c>
    </row>
    <row r="55" spans="1:20" ht="12.75">
      <c r="A55" s="53" t="s">
        <v>11</v>
      </c>
      <c r="B55" s="22">
        <f>SUM(B19,B25,B31,B37,B43,B49)</f>
        <v>1736</v>
      </c>
      <c r="C55" s="22">
        <f t="shared" si="25"/>
        <v>1877</v>
      </c>
      <c r="D55" s="22">
        <f t="shared" si="25"/>
        <v>2019</v>
      </c>
      <c r="E55" s="22">
        <f t="shared" si="25"/>
        <v>2050</v>
      </c>
      <c r="F55" s="22">
        <f t="shared" si="25"/>
        <v>2533</v>
      </c>
      <c r="G55" s="22">
        <f t="shared" si="25"/>
        <v>774</v>
      </c>
      <c r="H55" s="22">
        <f t="shared" si="25"/>
        <v>3551</v>
      </c>
      <c r="I55" s="22">
        <f t="shared" si="25"/>
        <v>4206</v>
      </c>
      <c r="J55" s="22">
        <f t="shared" si="25"/>
        <v>5699</v>
      </c>
      <c r="K55" s="22">
        <f t="shared" si="25"/>
        <v>8165</v>
      </c>
      <c r="L55" s="22">
        <f>SUM(L19,L25,L31,L37,L43,L49)</f>
        <v>10017</v>
      </c>
      <c r="M55" s="22">
        <f t="shared" si="26"/>
        <v>10017</v>
      </c>
      <c r="N55" s="22">
        <f t="shared" si="26"/>
        <v>9427</v>
      </c>
      <c r="O55" s="22">
        <f t="shared" si="26"/>
        <v>10707</v>
      </c>
      <c r="P55" s="22">
        <f t="shared" si="26"/>
        <v>12004</v>
      </c>
      <c r="Q55" s="22">
        <f t="shared" si="26"/>
        <v>14718</v>
      </c>
      <c r="R55" s="22">
        <f t="shared" si="26"/>
        <v>16836</v>
      </c>
      <c r="S55" s="22">
        <f t="shared" si="26"/>
        <v>9517</v>
      </c>
      <c r="T55" s="21">
        <f t="shared" si="26"/>
        <v>10055</v>
      </c>
    </row>
    <row r="56" spans="1:20" ht="25.5">
      <c r="A56" s="54" t="s">
        <v>10</v>
      </c>
      <c r="B56" s="20">
        <f>SUM(B20,B26,B32,B38,B44,B50)</f>
        <v>1736</v>
      </c>
      <c r="C56" s="20">
        <f t="shared" si="25"/>
        <v>1877</v>
      </c>
      <c r="D56" s="20">
        <f t="shared" si="25"/>
        <v>2019</v>
      </c>
      <c r="E56" s="20">
        <f t="shared" si="25"/>
        <v>2050</v>
      </c>
      <c r="F56" s="20">
        <f t="shared" si="25"/>
        <v>2533</v>
      </c>
      <c r="G56" s="20">
        <f t="shared" si="25"/>
        <v>5916</v>
      </c>
      <c r="H56" s="20">
        <f t="shared" si="25"/>
        <v>11013</v>
      </c>
      <c r="I56" s="20">
        <f t="shared" si="25"/>
        <v>11511</v>
      </c>
      <c r="J56" s="20">
        <f t="shared" si="25"/>
        <v>13134</v>
      </c>
      <c r="K56" s="20">
        <f t="shared" si="25"/>
        <v>12865</v>
      </c>
      <c r="L56" s="20">
        <f>SUM(L20,L26,L32,L38,L44,L50)</f>
        <v>16683</v>
      </c>
      <c r="M56" s="20">
        <f t="shared" si="26"/>
        <v>16683</v>
      </c>
      <c r="N56" s="20">
        <f t="shared" si="26"/>
        <v>16666</v>
      </c>
      <c r="O56" s="20">
        <f t="shared" si="26"/>
        <v>17315</v>
      </c>
      <c r="P56" s="20">
        <f t="shared" si="26"/>
        <v>18808</v>
      </c>
      <c r="Q56" s="20">
        <f t="shared" si="26"/>
        <v>21984</v>
      </c>
      <c r="R56" s="20">
        <f t="shared" si="26"/>
        <v>24549</v>
      </c>
      <c r="S56" s="20">
        <f t="shared" si="26"/>
        <v>27356</v>
      </c>
      <c r="T56" s="19">
        <f t="shared" si="26"/>
        <v>30193</v>
      </c>
    </row>
    <row r="57" spans="1:20" ht="12.75">
      <c r="A57" s="55" t="s">
        <v>9</v>
      </c>
      <c r="B57" s="71">
        <f>SUM(B21,B27,B33,B39,B45,B51)</f>
        <v>-3340</v>
      </c>
      <c r="C57" s="71">
        <f t="shared" si="25"/>
        <v>-5670</v>
      </c>
      <c r="D57" s="71">
        <f t="shared" si="25"/>
        <v>-5020</v>
      </c>
      <c r="E57" s="71">
        <f t="shared" si="25"/>
        <v>-3078</v>
      </c>
      <c r="F57" s="71">
        <f t="shared" si="25"/>
        <v>-7236</v>
      </c>
      <c r="G57" s="71">
        <f t="shared" si="25"/>
        <v>-53</v>
      </c>
      <c r="H57" s="71">
        <f t="shared" si="25"/>
        <v>-3505</v>
      </c>
      <c r="I57" s="71">
        <f t="shared" si="25"/>
        <v>-2076</v>
      </c>
      <c r="J57" s="71">
        <f t="shared" si="25"/>
        <v>-2722</v>
      </c>
      <c r="K57" s="71">
        <f t="shared" si="25"/>
        <v>-3741</v>
      </c>
      <c r="L57" s="71">
        <f>SUM(L21,L27,L33,L39,L45,L51)</f>
        <v>-866</v>
      </c>
      <c r="M57" s="71">
        <f t="shared" si="26"/>
        <v>-867</v>
      </c>
      <c r="N57" s="71">
        <f t="shared" si="26"/>
        <v>-765</v>
      </c>
      <c r="O57" s="71">
        <f t="shared" si="26"/>
        <v>-201</v>
      </c>
      <c r="P57" s="71">
        <f t="shared" si="26"/>
        <v>-218</v>
      </c>
      <c r="Q57" s="71">
        <f t="shared" si="26"/>
        <v>-2172</v>
      </c>
      <c r="R57" s="71">
        <f t="shared" si="26"/>
        <v>-1337</v>
      </c>
      <c r="S57" s="71">
        <f t="shared" si="26"/>
        <v>-567</v>
      </c>
      <c r="T57" s="18">
        <f t="shared" si="26"/>
        <v>182</v>
      </c>
    </row>
    <row r="58" spans="1:20" ht="12.75">
      <c r="A58" s="56" t="s">
        <v>8</v>
      </c>
      <c r="B58" s="17">
        <f>B59-B55-B15</f>
        <v>10553</v>
      </c>
      <c r="C58" s="17">
        <f aca="true" t="shared" si="27" ref="C58:K58">C59-C55-C15</f>
        <v>15303</v>
      </c>
      <c r="D58" s="17">
        <f t="shared" si="27"/>
        <v>12274</v>
      </c>
      <c r="E58" s="17">
        <f t="shared" si="27"/>
        <v>12902</v>
      </c>
      <c r="F58" s="17">
        <f t="shared" si="27"/>
        <v>12354</v>
      </c>
      <c r="G58" s="17">
        <f t="shared" si="27"/>
        <v>28057</v>
      </c>
      <c r="H58" s="17">
        <f t="shared" si="27"/>
        <v>17117</v>
      </c>
      <c r="I58" s="17">
        <f t="shared" si="27"/>
        <v>17521</v>
      </c>
      <c r="J58" s="17">
        <f t="shared" si="27"/>
        <v>18663</v>
      </c>
      <c r="K58" s="17">
        <f t="shared" si="27"/>
        <v>21149</v>
      </c>
      <c r="L58" s="17">
        <f>L59-L55-L15</f>
        <v>16567</v>
      </c>
      <c r="M58" s="17">
        <f aca="true" t="shared" si="28" ref="M58:T58">M59-M55-M15</f>
        <v>16567</v>
      </c>
      <c r="N58" s="17">
        <f t="shared" si="28"/>
        <v>23450</v>
      </c>
      <c r="O58" s="17">
        <f t="shared" si="28"/>
        <v>27827</v>
      </c>
      <c r="P58" s="17">
        <f t="shared" si="28"/>
        <v>45545</v>
      </c>
      <c r="Q58" s="17">
        <f t="shared" si="28"/>
        <v>31861</v>
      </c>
      <c r="R58" s="17">
        <f t="shared" si="28"/>
        <v>29011</v>
      </c>
      <c r="S58" s="17">
        <f t="shared" si="28"/>
        <v>28636</v>
      </c>
      <c r="T58" s="16">
        <f t="shared" si="28"/>
        <v>33097</v>
      </c>
    </row>
    <row r="59" spans="1:20" ht="12.75">
      <c r="A59" s="57" t="s">
        <v>7</v>
      </c>
      <c r="B59" s="7">
        <v>23574</v>
      </c>
      <c r="C59" s="7">
        <f>17180+11442</f>
        <v>28622</v>
      </c>
      <c r="D59" s="7">
        <f>12627+12334+1593+73</f>
        <v>26627</v>
      </c>
      <c r="E59" s="7">
        <v>27548</v>
      </c>
      <c r="F59" s="7">
        <v>28418</v>
      </c>
      <c r="G59" s="7">
        <f>70424-27068</f>
        <v>43356</v>
      </c>
      <c r="H59" s="7">
        <v>37592</v>
      </c>
      <c r="I59" s="7">
        <v>39362</v>
      </c>
      <c r="J59" s="7">
        <v>43046</v>
      </c>
      <c r="K59" s="7">
        <v>46137</v>
      </c>
      <c r="L59" s="6">
        <v>43787</v>
      </c>
      <c r="M59" s="165">
        <v>43787</v>
      </c>
      <c r="N59" s="165">
        <f>51414</f>
        <v>51414</v>
      </c>
      <c r="O59" s="165">
        <v>57728</v>
      </c>
      <c r="P59" s="165">
        <v>78719</v>
      </c>
      <c r="Q59" s="165">
        <v>69256</v>
      </c>
      <c r="R59" s="165">
        <v>70858</v>
      </c>
      <c r="S59" s="165">
        <v>75181</v>
      </c>
      <c r="T59" s="166">
        <v>83889</v>
      </c>
    </row>
    <row r="60" spans="1:20" ht="12.75">
      <c r="A60" s="47"/>
      <c r="B60" s="30"/>
      <c r="C60" s="30"/>
      <c r="D60" s="30"/>
      <c r="E60" s="30"/>
      <c r="F60" s="30"/>
      <c r="G60" s="30"/>
      <c r="H60" s="30"/>
      <c r="I60" s="30"/>
      <c r="J60" s="30"/>
      <c r="K60" s="30"/>
      <c r="L60" s="5"/>
      <c r="M60" s="30"/>
      <c r="N60" s="30"/>
      <c r="O60" s="30"/>
      <c r="P60" s="30"/>
      <c r="Q60" s="30"/>
      <c r="R60" s="30"/>
      <c r="S60" s="30"/>
      <c r="T60" s="5"/>
    </row>
    <row r="61" spans="1:20" ht="12.75">
      <c r="A61" s="48" t="s">
        <v>6</v>
      </c>
      <c r="B61" s="156"/>
      <c r="C61" s="156"/>
      <c r="D61" s="156"/>
      <c r="E61" s="156"/>
      <c r="F61" s="156"/>
      <c r="G61" s="156"/>
      <c r="H61" s="156"/>
      <c r="I61" s="156"/>
      <c r="J61" s="156"/>
      <c r="K61" s="156"/>
      <c r="L61" s="157"/>
      <c r="M61" s="156"/>
      <c r="N61" s="156"/>
      <c r="O61" s="156"/>
      <c r="P61" s="156"/>
      <c r="Q61" s="156"/>
      <c r="R61" s="156"/>
      <c r="S61" s="156"/>
      <c r="T61" s="157"/>
    </row>
    <row r="62" spans="1:20" ht="25.5">
      <c r="A62" s="47" t="s">
        <v>221</v>
      </c>
      <c r="B62" s="30">
        <f>3001+1045+771</f>
        <v>4817</v>
      </c>
      <c r="C62" s="30">
        <f>1309+3682+1362</f>
        <v>6353</v>
      </c>
      <c r="D62" s="30">
        <f>2369+1225+3880+1381+424</f>
        <v>9279</v>
      </c>
      <c r="E62" s="30">
        <f>2408+760+4221+1385</f>
        <v>8774</v>
      </c>
      <c r="F62" s="30">
        <f>988+4627+1615+458+33+144+113+48</f>
        <v>8026</v>
      </c>
      <c r="G62" s="30"/>
      <c r="H62" s="30">
        <f>1096+4884+1738+463</f>
        <v>8181</v>
      </c>
      <c r="I62" s="30">
        <f>986+5214+1927+572+230+142+40+379+108+96</f>
        <v>9694</v>
      </c>
      <c r="J62" s="30">
        <f>130+246+2198+2486+876+1314+3627</f>
        <v>10877</v>
      </c>
      <c r="K62" s="30">
        <f>116+2038+2356+728+1471+3491</f>
        <v>10200</v>
      </c>
      <c r="L62" s="5">
        <f>141+1653+2197+739+1471+3617</f>
        <v>9818</v>
      </c>
      <c r="M62" s="30">
        <f>141+1653+3617+2197+739+1471+444</f>
        <v>10262</v>
      </c>
      <c r="N62" s="30">
        <f>182+1931+2332+3501+570+989+2232</f>
        <v>11737</v>
      </c>
      <c r="O62" s="30">
        <f>2125+2522+3575+157+675+803+1828</f>
        <v>11685</v>
      </c>
      <c r="P62" s="30">
        <f>2165+2844+3671+150+588+956+1807</f>
        <v>12181</v>
      </c>
      <c r="Q62" s="30">
        <f>3558+1519+5582+229+613+609+2554</f>
        <v>14664</v>
      </c>
      <c r="R62" s="30">
        <f>3970+1668+7054+746+257+836+2433</f>
        <v>16964</v>
      </c>
      <c r="S62" s="30">
        <f>4668+2058+5826+277+986+3075</f>
        <v>16890</v>
      </c>
      <c r="T62" s="5">
        <f>5018+2241+6505+641+323+871+3931</f>
        <v>19530</v>
      </c>
    </row>
    <row r="63" spans="1:20" ht="12.75">
      <c r="A63" s="58" t="s">
        <v>222</v>
      </c>
      <c r="B63" s="15">
        <v>2803</v>
      </c>
      <c r="C63" s="15">
        <v>4386</v>
      </c>
      <c r="D63" s="15">
        <v>4208</v>
      </c>
      <c r="E63" s="15">
        <v>4804</v>
      </c>
      <c r="F63" s="15">
        <v>5497</v>
      </c>
      <c r="G63" s="15"/>
      <c r="H63" s="15">
        <v>6874</v>
      </c>
      <c r="I63" s="15">
        <v>5980</v>
      </c>
      <c r="J63" s="15">
        <v>4526</v>
      </c>
      <c r="K63" s="15">
        <v>5358</v>
      </c>
      <c r="L63" s="14">
        <v>6099</v>
      </c>
      <c r="M63" s="15">
        <v>6099</v>
      </c>
      <c r="N63" s="15">
        <f>6577</f>
        <v>6577</v>
      </c>
      <c r="O63" s="15">
        <v>6336</v>
      </c>
      <c r="P63" s="15">
        <v>7414</v>
      </c>
      <c r="Q63" s="15">
        <v>8895</v>
      </c>
      <c r="R63" s="15">
        <v>8689</v>
      </c>
      <c r="S63" s="15">
        <v>9276</v>
      </c>
      <c r="T63" s="14">
        <v>10041</v>
      </c>
    </row>
    <row r="64" spans="1:20" ht="25.5">
      <c r="A64" s="59" t="s">
        <v>223</v>
      </c>
      <c r="B64" s="167">
        <f>471+614+1690</f>
        <v>2775</v>
      </c>
      <c r="C64" s="167">
        <f>1231+2893</f>
        <v>4124</v>
      </c>
      <c r="D64" s="167">
        <f>2904+1337</f>
        <v>4241</v>
      </c>
      <c r="E64" s="167">
        <f>1170+3288</f>
        <v>4458</v>
      </c>
      <c r="F64" s="167">
        <f>1309+3660</f>
        <v>4969</v>
      </c>
      <c r="G64" s="167"/>
      <c r="H64" s="167">
        <f>1214+5702</f>
        <v>6916</v>
      </c>
      <c r="I64" s="167">
        <f>3397+2161</f>
        <v>5558</v>
      </c>
      <c r="J64" s="167">
        <f>4283+1676</f>
        <v>5959</v>
      </c>
      <c r="K64" s="167">
        <f>5650+1656</f>
        <v>7306</v>
      </c>
      <c r="L64" s="12">
        <f>5154+1636</f>
        <v>6790</v>
      </c>
      <c r="M64" s="167">
        <f>5154+1636</f>
        <v>6790</v>
      </c>
      <c r="N64" s="167">
        <f>5389+1668</f>
        <v>7057</v>
      </c>
      <c r="O64" s="82">
        <f>5154+1381</f>
        <v>6535</v>
      </c>
      <c r="P64" s="82">
        <f>4872+1700</f>
        <v>6572</v>
      </c>
      <c r="Q64" s="82">
        <f>5506+2493</f>
        <v>7999</v>
      </c>
      <c r="R64" s="82">
        <f>2162+6266</f>
        <v>8428</v>
      </c>
      <c r="S64" s="82">
        <f>2175+6342</f>
        <v>8517</v>
      </c>
      <c r="T64" s="83">
        <f>6876+2106</f>
        <v>8982</v>
      </c>
    </row>
    <row r="65" spans="1:20" ht="12.75">
      <c r="A65" s="60" t="s">
        <v>5</v>
      </c>
      <c r="B65" s="11">
        <f>2301</f>
        <v>2301</v>
      </c>
      <c r="C65" s="11">
        <v>3423</v>
      </c>
      <c r="D65" s="11">
        <v>3566</v>
      </c>
      <c r="E65" s="11">
        <v>3567</v>
      </c>
      <c r="F65" s="11">
        <v>3498</v>
      </c>
      <c r="G65" s="11"/>
      <c r="H65" s="11">
        <v>3299</v>
      </c>
      <c r="I65" s="11">
        <v>4223</v>
      </c>
      <c r="J65" s="11">
        <v>4436</v>
      </c>
      <c r="K65" s="11">
        <v>4298</v>
      </c>
      <c r="L65" s="10">
        <v>4932</v>
      </c>
      <c r="M65" s="11">
        <v>4392</v>
      </c>
      <c r="N65" s="11">
        <v>4681</v>
      </c>
      <c r="O65" s="11">
        <f>4847</f>
        <v>4847</v>
      </c>
      <c r="P65" s="11">
        <v>5788</v>
      </c>
      <c r="Q65" s="11">
        <v>8331</v>
      </c>
      <c r="R65" s="11">
        <v>9021</v>
      </c>
      <c r="S65" s="11">
        <v>9894</v>
      </c>
      <c r="T65" s="10">
        <v>10527</v>
      </c>
    </row>
    <row r="66" spans="1:20" ht="12.75">
      <c r="A66" s="118" t="s">
        <v>42</v>
      </c>
      <c r="B66" s="119"/>
      <c r="C66" s="119"/>
      <c r="D66" s="119"/>
      <c r="E66" s="119"/>
      <c r="F66" s="119"/>
      <c r="G66" s="119"/>
      <c r="H66" s="119"/>
      <c r="I66" s="119">
        <v>1409</v>
      </c>
      <c r="J66" s="119">
        <v>2413</v>
      </c>
      <c r="K66" s="119">
        <v>1982</v>
      </c>
      <c r="L66" s="122">
        <v>2523</v>
      </c>
      <c r="M66" s="122">
        <v>2524</v>
      </c>
      <c r="N66" s="119">
        <v>2386</v>
      </c>
      <c r="O66" s="119">
        <v>2666</v>
      </c>
      <c r="P66" s="119">
        <v>2856</v>
      </c>
      <c r="Q66" s="119">
        <v>3072</v>
      </c>
      <c r="R66" s="119">
        <v>3126</v>
      </c>
      <c r="S66" s="179">
        <v>3517</v>
      </c>
      <c r="T66" s="122">
        <v>3975</v>
      </c>
    </row>
    <row r="67" spans="1:20" ht="13.5" customHeight="1">
      <c r="A67" s="117" t="s">
        <v>50</v>
      </c>
      <c r="B67" s="120"/>
      <c r="C67" s="120"/>
      <c r="D67" s="120"/>
      <c r="E67" s="120"/>
      <c r="F67" s="125">
        <v>2324</v>
      </c>
      <c r="G67" s="125">
        <v>2780</v>
      </c>
      <c r="H67" s="125">
        <v>2731</v>
      </c>
      <c r="I67" s="125">
        <v>3185</v>
      </c>
      <c r="J67" s="125">
        <f>1528+1520</f>
        <v>3048</v>
      </c>
      <c r="K67" s="125">
        <f>1578+1441</f>
        <v>3019</v>
      </c>
      <c r="L67" s="128">
        <f>1918+1386</f>
        <v>3304</v>
      </c>
      <c r="M67" s="128">
        <f>1918+1386</f>
        <v>3304</v>
      </c>
      <c r="N67" s="125">
        <f>1807+1500</f>
        <v>3307</v>
      </c>
      <c r="O67" s="125">
        <f>1515+1953</f>
        <v>3468</v>
      </c>
      <c r="P67" s="125">
        <f>1616+2194</f>
        <v>3810</v>
      </c>
      <c r="Q67" s="120">
        <f>3022+1732</f>
        <v>4754</v>
      </c>
      <c r="R67" s="120">
        <f>2019+3292</f>
        <v>5311</v>
      </c>
      <c r="S67" s="120">
        <f>2221+3774</f>
        <v>5995</v>
      </c>
      <c r="T67" s="123">
        <f>2379+4148</f>
        <v>6527</v>
      </c>
    </row>
    <row r="68" spans="1:20" ht="12.75">
      <c r="A68" s="117" t="s">
        <v>41</v>
      </c>
      <c r="B68" s="119"/>
      <c r="C68" s="119"/>
      <c r="D68" s="119"/>
      <c r="E68" s="119"/>
      <c r="F68" s="119"/>
      <c r="G68" s="119"/>
      <c r="H68" s="119"/>
      <c r="I68" s="119"/>
      <c r="J68" s="119"/>
      <c r="K68" s="119"/>
      <c r="L68" s="122"/>
      <c r="M68" s="119"/>
      <c r="N68" s="119"/>
      <c r="O68" s="119"/>
      <c r="P68" s="119"/>
      <c r="Q68" s="119"/>
      <c r="R68" s="119"/>
      <c r="S68" s="179"/>
      <c r="T68" s="122"/>
    </row>
    <row r="69" spans="1:22" ht="51">
      <c r="A69" s="168" t="s">
        <v>4</v>
      </c>
      <c r="B69" s="169"/>
      <c r="C69" s="169"/>
      <c r="D69" s="169"/>
      <c r="E69" s="169"/>
      <c r="F69" s="169"/>
      <c r="G69" s="169"/>
      <c r="H69" s="169"/>
      <c r="I69" s="169"/>
      <c r="J69" s="169"/>
      <c r="K69" s="169"/>
      <c r="L69" s="170"/>
      <c r="M69" s="169">
        <f>35641-SUM(M62:M68)</f>
        <v>2270</v>
      </c>
      <c r="N69" s="169">
        <f>37864-SUM(N62:N68)</f>
        <v>2119</v>
      </c>
      <c r="O69" s="169">
        <f>40194-SUM(O62:O68)</f>
        <v>4657</v>
      </c>
      <c r="P69" s="169">
        <f>43198-SUM(P62:P68)</f>
        <v>4577</v>
      </c>
      <c r="Q69" s="169">
        <f>49286-SUM(Q62:Q68)</f>
        <v>1571</v>
      </c>
      <c r="R69" s="169">
        <f>52813-SUM(R62:R68)</f>
        <v>1274</v>
      </c>
      <c r="S69" s="169">
        <f>55565-SUM(S62:S68)</f>
        <v>1476</v>
      </c>
      <c r="T69" s="170">
        <f>61176-SUM(T62:T68)</f>
        <v>1594</v>
      </c>
      <c r="V69" s="171"/>
    </row>
    <row r="70" spans="1:20" ht="25.5">
      <c r="A70" s="172" t="s">
        <v>3</v>
      </c>
      <c r="B70" s="173"/>
      <c r="C70" s="173"/>
      <c r="D70" s="173"/>
      <c r="E70" s="173"/>
      <c r="F70" s="173"/>
      <c r="G70" s="173"/>
      <c r="H70" s="173"/>
      <c r="I70" s="173"/>
      <c r="J70" s="173"/>
      <c r="K70" s="173"/>
      <c r="L70" s="174"/>
      <c r="M70" s="173">
        <f>M72-35641</f>
        <v>2056</v>
      </c>
      <c r="N70" s="173">
        <f>40511-37864</f>
        <v>2647</v>
      </c>
      <c r="O70" s="173">
        <f>O72-40194</f>
        <v>2025</v>
      </c>
      <c r="P70" s="173">
        <f>P72-43198</f>
        <v>2048</v>
      </c>
      <c r="Q70" s="173">
        <f>Q72-49286</f>
        <v>2383</v>
      </c>
      <c r="R70" s="173">
        <f>R72-52813</f>
        <v>2883</v>
      </c>
      <c r="S70" s="173">
        <f>S72-55565</f>
        <v>3037</v>
      </c>
      <c r="T70" s="174">
        <f>T72-61176</f>
        <v>3895</v>
      </c>
    </row>
    <row r="71" spans="1:22" ht="63.75">
      <c r="A71" s="47" t="s">
        <v>2</v>
      </c>
      <c r="B71" s="30"/>
      <c r="C71" s="30"/>
      <c r="D71" s="30">
        <f aca="true" t="shared" si="29" ref="D71:L71">D72-SUM(D62:D68)</f>
        <v>5194</v>
      </c>
      <c r="E71" s="30">
        <f>E72-SUM(E62:E68)</f>
        <v>5945</v>
      </c>
      <c r="F71" s="30">
        <f t="shared" si="29"/>
        <v>4257</v>
      </c>
      <c r="G71" s="30">
        <f t="shared" si="29"/>
        <v>31581</v>
      </c>
      <c r="H71" s="30">
        <f t="shared" si="29"/>
        <v>6752</v>
      </c>
      <c r="I71" s="30">
        <f t="shared" si="29"/>
        <v>6495</v>
      </c>
      <c r="J71" s="30">
        <f t="shared" si="29"/>
        <v>5921</v>
      </c>
      <c r="K71" s="30">
        <f t="shared" si="29"/>
        <v>7464</v>
      </c>
      <c r="L71" s="30">
        <f t="shared" si="29"/>
        <v>4213</v>
      </c>
      <c r="M71" s="30">
        <f>M72-SUM(M62:M68)</f>
        <v>4326</v>
      </c>
      <c r="N71" s="30">
        <f aca="true" t="shared" si="30" ref="N71:T71">N72-SUM(N62:N68)</f>
        <v>4766</v>
      </c>
      <c r="O71" s="30">
        <f t="shared" si="30"/>
        <v>6682</v>
      </c>
      <c r="P71" s="30">
        <f t="shared" si="30"/>
        <v>6625</v>
      </c>
      <c r="Q71" s="30">
        <f t="shared" si="30"/>
        <v>3954</v>
      </c>
      <c r="R71" s="30">
        <f t="shared" si="30"/>
        <v>4157</v>
      </c>
      <c r="S71" s="30">
        <f t="shared" si="30"/>
        <v>4513</v>
      </c>
      <c r="T71" s="5">
        <f t="shared" si="30"/>
        <v>5489</v>
      </c>
      <c r="V71" s="175"/>
    </row>
    <row r="72" spans="1:20" ht="12.75">
      <c r="A72" s="57" t="s">
        <v>1</v>
      </c>
      <c r="B72" s="7">
        <v>22605</v>
      </c>
      <c r="C72" s="7">
        <v>30379</v>
      </c>
      <c r="D72" s="7">
        <v>26488</v>
      </c>
      <c r="E72" s="7">
        <v>27548</v>
      </c>
      <c r="F72" s="7">
        <v>28571</v>
      </c>
      <c r="G72" s="7">
        <v>34361</v>
      </c>
      <c r="H72" s="7">
        <v>34753</v>
      </c>
      <c r="I72" s="7">
        <v>36544</v>
      </c>
      <c r="J72" s="7">
        <v>37180</v>
      </c>
      <c r="K72" s="7">
        <v>39627</v>
      </c>
      <c r="L72" s="6">
        <v>37679</v>
      </c>
      <c r="M72" s="7">
        <v>37697</v>
      </c>
      <c r="N72" s="7">
        <v>40511</v>
      </c>
      <c r="O72" s="7">
        <v>42219</v>
      </c>
      <c r="P72" s="7">
        <v>45246</v>
      </c>
      <c r="Q72" s="7">
        <v>51669</v>
      </c>
      <c r="R72" s="7">
        <v>55696</v>
      </c>
      <c r="S72" s="7">
        <v>58602</v>
      </c>
      <c r="T72" s="6">
        <v>65071</v>
      </c>
    </row>
    <row r="73" spans="1:20" ht="12.75">
      <c r="A73" s="47"/>
      <c r="B73" s="30"/>
      <c r="C73" s="30"/>
      <c r="D73" s="30"/>
      <c r="E73" s="30"/>
      <c r="F73" s="30"/>
      <c r="G73" s="30"/>
      <c r="H73" s="30"/>
      <c r="I73" s="30"/>
      <c r="J73" s="30"/>
      <c r="K73" s="30"/>
      <c r="L73" s="5"/>
      <c r="M73" s="30"/>
      <c r="N73" s="30"/>
      <c r="O73" s="30"/>
      <c r="P73" s="30"/>
      <c r="Q73" s="30"/>
      <c r="R73" s="30"/>
      <c r="S73" s="30"/>
      <c r="T73" s="5"/>
    </row>
    <row r="74" spans="1:20" ht="12.75">
      <c r="A74" s="62" t="s">
        <v>0</v>
      </c>
      <c r="B74" s="4">
        <v>261918</v>
      </c>
      <c r="C74" s="4">
        <v>270180</v>
      </c>
      <c r="D74" s="4">
        <v>272953</v>
      </c>
      <c r="E74" s="4">
        <v>290613</v>
      </c>
      <c r="F74" s="4">
        <v>292223</v>
      </c>
      <c r="G74" s="4">
        <v>317849</v>
      </c>
      <c r="H74" s="4">
        <v>324752</v>
      </c>
      <c r="I74" s="4">
        <v>331736</v>
      </c>
      <c r="J74" s="4">
        <v>340587</v>
      </c>
      <c r="K74" s="4">
        <v>532069</v>
      </c>
      <c r="L74" s="3">
        <v>541938</v>
      </c>
      <c r="M74" s="4">
        <v>541938</v>
      </c>
      <c r="N74" s="4">
        <v>556495</v>
      </c>
      <c r="O74" s="4">
        <v>680349</v>
      </c>
      <c r="P74" s="4">
        <v>779731</v>
      </c>
      <c r="Q74" s="4">
        <v>800317</v>
      </c>
      <c r="R74" s="4">
        <f>967555</f>
        <v>967555</v>
      </c>
      <c r="S74" s="4">
        <v>1018088</v>
      </c>
      <c r="T74" s="3">
        <v>1084645</v>
      </c>
    </row>
  </sheetData>
  <sheetProtection/>
  <mergeCells count="1">
    <mergeCell ref="B1:T1"/>
  </mergeCell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AJ75"/>
  <sheetViews>
    <sheetView zoomScale="77" zoomScaleNormal="77" zoomScalePageLayoutView="0" workbookViewId="0" topLeftCell="A1">
      <pane xSplit="1" ySplit="2" topLeftCell="B37" activePane="bottomRight" state="frozen"/>
      <selection pane="topLeft" activeCell="H29" sqref="H29"/>
      <selection pane="topRight" activeCell="H29" sqref="H29"/>
      <selection pane="bottomLeft" activeCell="H29" sqref="H29"/>
      <selection pane="bottomRight" activeCell="G89" sqref="G89"/>
    </sheetView>
  </sheetViews>
  <sheetFormatPr defaultColWidth="9.140625" defaultRowHeight="15" outlineLevelRow="1"/>
  <cols>
    <col min="1" max="1" width="32.421875" style="2" customWidth="1"/>
    <col min="2" max="16384" width="9.140625" style="1" customWidth="1"/>
  </cols>
  <sheetData>
    <row r="1" spans="1:19" ht="12.75">
      <c r="A1" s="21"/>
      <c r="B1" s="482" t="s">
        <v>65</v>
      </c>
      <c r="C1" s="483"/>
      <c r="D1" s="483"/>
      <c r="E1" s="483"/>
      <c r="F1" s="483"/>
      <c r="G1" s="483"/>
      <c r="H1" s="483"/>
      <c r="I1" s="483"/>
      <c r="J1" s="483"/>
      <c r="K1" s="483"/>
      <c r="L1" s="483"/>
      <c r="M1" s="483"/>
      <c r="N1" s="483"/>
      <c r="O1" s="483"/>
      <c r="P1" s="483"/>
      <c r="Q1" s="483"/>
      <c r="R1" s="483"/>
      <c r="S1" s="484"/>
    </row>
    <row r="2" spans="1:19" ht="12.75">
      <c r="A2" s="43"/>
      <c r="B2" s="84">
        <v>1991</v>
      </c>
      <c r="C2" s="84">
        <v>1992</v>
      </c>
      <c r="D2" s="84">
        <v>1993</v>
      </c>
      <c r="E2" s="84">
        <v>1994</v>
      </c>
      <c r="F2" s="84">
        <v>1995</v>
      </c>
      <c r="G2" s="84">
        <v>1996</v>
      </c>
      <c r="H2" s="44">
        <v>1997</v>
      </c>
      <c r="I2" s="44">
        <v>1998</v>
      </c>
      <c r="J2" s="88">
        <v>1999</v>
      </c>
      <c r="K2" s="44">
        <v>2000</v>
      </c>
      <c r="L2" s="84">
        <v>2001</v>
      </c>
      <c r="M2" s="88">
        <v>2002</v>
      </c>
      <c r="N2" s="44">
        <v>2003</v>
      </c>
      <c r="O2" s="44">
        <v>2004</v>
      </c>
      <c r="P2" s="44">
        <v>2005</v>
      </c>
      <c r="Q2" s="44">
        <v>2006</v>
      </c>
      <c r="R2" s="44">
        <v>2007</v>
      </c>
      <c r="S2" s="116">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v>1900</v>
      </c>
      <c r="C5" s="2">
        <v>1760</v>
      </c>
      <c r="D5" s="2">
        <v>1671</v>
      </c>
      <c r="E5" s="2">
        <v>1719</v>
      </c>
      <c r="F5" s="2">
        <v>1688</v>
      </c>
      <c r="G5" s="2">
        <v>1722</v>
      </c>
      <c r="H5" s="2">
        <v>1463</v>
      </c>
      <c r="I5" s="2">
        <v>1528</v>
      </c>
      <c r="J5" s="2">
        <v>1564</v>
      </c>
      <c r="K5" s="2">
        <v>1617</v>
      </c>
      <c r="L5" s="2">
        <v>1697</v>
      </c>
      <c r="M5" s="2">
        <v>1622</v>
      </c>
      <c r="N5" s="2">
        <v>1706</v>
      </c>
      <c r="P5" s="2"/>
      <c r="Q5" s="2"/>
      <c r="R5" s="2"/>
      <c r="S5" s="5"/>
    </row>
    <row r="6" spans="1:19" ht="12.75">
      <c r="A6" s="47" t="s">
        <v>28</v>
      </c>
      <c r="B6" s="2"/>
      <c r="C6" s="2"/>
      <c r="D6" s="2"/>
      <c r="E6" s="2"/>
      <c r="F6" s="2"/>
      <c r="G6" s="2"/>
      <c r="H6" s="2"/>
      <c r="I6" s="2"/>
      <c r="J6" s="2"/>
      <c r="K6" s="2"/>
      <c r="L6" s="2"/>
      <c r="M6" s="2"/>
      <c r="N6" s="2"/>
      <c r="O6" s="2"/>
      <c r="P6" s="2"/>
      <c r="Q6" s="2"/>
      <c r="R6" s="2"/>
      <c r="S6" s="5"/>
    </row>
    <row r="7" spans="1:19" ht="12.75">
      <c r="A7" s="47" t="s">
        <v>27</v>
      </c>
      <c r="B7" s="2"/>
      <c r="C7" s="2"/>
      <c r="D7" s="2"/>
      <c r="E7" s="2"/>
      <c r="F7" s="2"/>
      <c r="G7" s="2"/>
      <c r="H7" s="2"/>
      <c r="I7" s="2"/>
      <c r="J7" s="2"/>
      <c r="K7" s="2"/>
      <c r="L7" s="2"/>
      <c r="M7" s="2"/>
      <c r="N7" s="2"/>
      <c r="O7" s="2"/>
      <c r="P7" s="2"/>
      <c r="Q7" s="2"/>
      <c r="R7" s="2"/>
      <c r="S7" s="5"/>
    </row>
    <row r="8" spans="1:19" ht="12.75">
      <c r="A8" s="47" t="s">
        <v>26</v>
      </c>
      <c r="B8" s="2"/>
      <c r="C8" s="2"/>
      <c r="D8" s="2"/>
      <c r="E8" s="2"/>
      <c r="F8" s="2"/>
      <c r="G8" s="2"/>
      <c r="H8" s="2"/>
      <c r="I8" s="2"/>
      <c r="J8" s="2"/>
      <c r="K8" s="2"/>
      <c r="L8" s="2"/>
      <c r="M8" s="2"/>
      <c r="N8" s="2"/>
      <c r="O8" s="2"/>
      <c r="P8" s="2"/>
      <c r="Q8" s="2"/>
      <c r="R8" s="2"/>
      <c r="S8" s="5"/>
    </row>
    <row r="9" spans="1:19" ht="12.75">
      <c r="A9" s="59" t="s">
        <v>35</v>
      </c>
      <c r="B9" s="78"/>
      <c r="C9" s="78"/>
      <c r="D9" s="78"/>
      <c r="E9" s="78"/>
      <c r="F9" s="13"/>
      <c r="G9" s="13"/>
      <c r="H9" s="13"/>
      <c r="I9" s="13"/>
      <c r="J9" s="13"/>
      <c r="K9" s="13"/>
      <c r="L9" s="13"/>
      <c r="M9" s="13"/>
      <c r="N9" s="13"/>
      <c r="O9" s="13"/>
      <c r="P9" s="13"/>
      <c r="Q9" s="13"/>
      <c r="R9" s="13"/>
      <c r="S9" s="12"/>
    </row>
    <row r="10" spans="1:19" ht="12.75">
      <c r="A10" s="59" t="s">
        <v>43</v>
      </c>
      <c r="B10" s="78">
        <f aca="true" t="shared" si="0" ref="B10:S10">B48</f>
        <v>1147</v>
      </c>
      <c r="C10" s="78">
        <f t="shared" si="0"/>
        <v>998</v>
      </c>
      <c r="D10" s="78">
        <f t="shared" si="0"/>
        <v>1098</v>
      </c>
      <c r="E10" s="78">
        <f t="shared" si="0"/>
        <v>1072</v>
      </c>
      <c r="F10" s="13">
        <f t="shared" si="0"/>
        <v>1081</v>
      </c>
      <c r="G10" s="13">
        <f t="shared" si="0"/>
        <v>1060</v>
      </c>
      <c r="H10" s="13">
        <f t="shared" si="0"/>
        <v>1379</v>
      </c>
      <c r="I10" s="13">
        <f t="shared" si="0"/>
        <v>1426</v>
      </c>
      <c r="J10" s="13">
        <f t="shared" si="0"/>
        <v>1426</v>
      </c>
      <c r="K10" s="63">
        <f t="shared" si="0"/>
        <v>1547</v>
      </c>
      <c r="L10" s="63">
        <f t="shared" si="0"/>
        <v>1558</v>
      </c>
      <c r="M10" s="63">
        <f t="shared" si="0"/>
        <v>1802</v>
      </c>
      <c r="N10" s="63">
        <f t="shared" si="0"/>
        <v>1739</v>
      </c>
      <c r="O10" s="63">
        <v>2088</v>
      </c>
      <c r="P10" s="63">
        <f t="shared" si="0"/>
        <v>2617</v>
      </c>
      <c r="Q10" s="63">
        <f t="shared" si="0"/>
        <v>2851</v>
      </c>
      <c r="R10" s="13">
        <f>R48</f>
        <v>2411</v>
      </c>
      <c r="S10" s="12">
        <f t="shared" si="0"/>
        <v>3390</v>
      </c>
    </row>
    <row r="11" spans="1:36" ht="12.75">
      <c r="A11" s="59" t="s">
        <v>44</v>
      </c>
      <c r="B11" s="78"/>
      <c r="C11" s="78"/>
      <c r="D11" s="78"/>
      <c r="E11" s="78"/>
      <c r="F11" s="13"/>
      <c r="G11" s="13"/>
      <c r="H11" s="13"/>
      <c r="I11" s="13"/>
      <c r="J11" s="13"/>
      <c r="K11" s="13"/>
      <c r="L11" s="13"/>
      <c r="M11" s="13"/>
      <c r="N11" s="13"/>
      <c r="O11" s="13"/>
      <c r="P11" s="13"/>
      <c r="Q11" s="13"/>
      <c r="R11" s="13">
        <f>R42</f>
        <v>830</v>
      </c>
      <c r="S11" s="12">
        <f>S42</f>
        <v>1139</v>
      </c>
      <c r="AJ11" s="2"/>
    </row>
    <row r="12" spans="1:19" ht="12.75">
      <c r="A12" s="47" t="s">
        <v>25</v>
      </c>
      <c r="B12" s="2"/>
      <c r="C12" s="2"/>
      <c r="D12" s="2"/>
      <c r="E12" s="2"/>
      <c r="F12" s="2"/>
      <c r="G12" s="2"/>
      <c r="H12" s="2"/>
      <c r="I12" s="2"/>
      <c r="J12" s="2"/>
      <c r="K12" s="2"/>
      <c r="L12" s="2"/>
      <c r="M12" s="2"/>
      <c r="N12" s="2"/>
      <c r="O12" s="2"/>
      <c r="P12" s="2"/>
      <c r="Q12" s="2"/>
      <c r="R12" s="2"/>
      <c r="S12" s="5"/>
    </row>
    <row r="13" spans="1:19" ht="12.75">
      <c r="A13" s="46" t="s">
        <v>24</v>
      </c>
      <c r="B13" s="42">
        <v>1147</v>
      </c>
      <c r="C13" s="42">
        <v>998</v>
      </c>
      <c r="D13" s="42">
        <v>1098</v>
      </c>
      <c r="E13" s="42">
        <f>SUM(E7:E12)</f>
        <v>1072</v>
      </c>
      <c r="F13" s="42">
        <f aca="true" t="shared" si="1" ref="F13:N13">SUM(F7:F12)</f>
        <v>1081</v>
      </c>
      <c r="G13" s="42">
        <f t="shared" si="1"/>
        <v>1060</v>
      </c>
      <c r="H13" s="42">
        <f t="shared" si="1"/>
        <v>1379</v>
      </c>
      <c r="I13" s="42">
        <f t="shared" si="1"/>
        <v>1426</v>
      </c>
      <c r="J13" s="42">
        <f t="shared" si="1"/>
        <v>1426</v>
      </c>
      <c r="K13" s="42">
        <f t="shared" si="1"/>
        <v>1547</v>
      </c>
      <c r="L13" s="42">
        <f t="shared" si="1"/>
        <v>1558</v>
      </c>
      <c r="M13" s="42">
        <f t="shared" si="1"/>
        <v>1802</v>
      </c>
      <c r="N13" s="42">
        <f t="shared" si="1"/>
        <v>1739</v>
      </c>
      <c r="O13" s="42">
        <f>3992</f>
        <v>3992</v>
      </c>
      <c r="P13" s="42">
        <v>4584</v>
      </c>
      <c r="Q13" s="42">
        <v>5458</v>
      </c>
      <c r="R13" s="42">
        <v>7811</v>
      </c>
      <c r="S13" s="28">
        <f>S15-S14</f>
        <v>8611</v>
      </c>
    </row>
    <row r="14" spans="1:19" ht="12.75">
      <c r="A14" s="47" t="s">
        <v>23</v>
      </c>
      <c r="B14" s="2">
        <f>-129</f>
        <v>-129</v>
      </c>
      <c r="C14" s="2"/>
      <c r="D14" s="2"/>
      <c r="E14" s="2"/>
      <c r="F14" s="2"/>
      <c r="G14" s="2"/>
      <c r="H14" s="2"/>
      <c r="I14" s="2"/>
      <c r="J14" s="2"/>
      <c r="K14" s="2"/>
      <c r="L14" s="2"/>
      <c r="M14" s="2"/>
      <c r="N14" s="2"/>
      <c r="O14" s="2"/>
      <c r="P14" s="2"/>
      <c r="Q14" s="2"/>
      <c r="R14" s="2"/>
      <c r="S14" s="5">
        <v>206</v>
      </c>
    </row>
    <row r="15" spans="1:19" ht="12.75">
      <c r="A15" s="48" t="s">
        <v>22</v>
      </c>
      <c r="B15" s="17">
        <f>SUM(B5,B13:B14)</f>
        <v>2918</v>
      </c>
      <c r="C15" s="17">
        <f>SUM(C13,C5)</f>
        <v>2758</v>
      </c>
      <c r="D15" s="17">
        <v>2769</v>
      </c>
      <c r="E15" s="17">
        <v>2791</v>
      </c>
      <c r="F15" s="17">
        <v>2769</v>
      </c>
      <c r="G15" s="17">
        <v>2782</v>
      </c>
      <c r="H15" s="114">
        <v>2842</v>
      </c>
      <c r="I15" s="114">
        <v>2954</v>
      </c>
      <c r="J15" s="114">
        <f>SUM(J13,J5)</f>
        <v>2990</v>
      </c>
      <c r="K15" s="114">
        <v>3164</v>
      </c>
      <c r="L15" s="114">
        <v>3255</v>
      </c>
      <c r="M15" s="114">
        <f>SUM(M13,M5)</f>
        <v>3424</v>
      </c>
      <c r="N15" s="114">
        <v>3445</v>
      </c>
      <c r="O15" s="114">
        <f>SUM(O13,AJ11)</f>
        <v>3992</v>
      </c>
      <c r="P15" s="114">
        <f>SUM(P13,P5)</f>
        <v>4584</v>
      </c>
      <c r="Q15" s="114">
        <f>SUM(Q13,Q5)</f>
        <v>5458</v>
      </c>
      <c r="R15" s="114">
        <f>SUM(R13,R5)</f>
        <v>7811</v>
      </c>
      <c r="S15" s="115">
        <v>8817</v>
      </c>
    </row>
    <row r="16" spans="1:19" ht="12.75">
      <c r="A16" s="5"/>
      <c r="B16" s="42"/>
      <c r="C16" s="42"/>
      <c r="D16" s="42"/>
      <c r="E16" s="42"/>
      <c r="F16" s="42"/>
      <c r="G16" s="42"/>
      <c r="H16" s="42"/>
      <c r="I16" s="42"/>
      <c r="J16" s="42"/>
      <c r="K16" s="42"/>
      <c r="L16" s="42"/>
      <c r="M16" s="42"/>
      <c r="N16" s="42"/>
      <c r="O16" s="42"/>
      <c r="P16" s="42"/>
      <c r="Q16" s="42"/>
      <c r="R16" s="42"/>
      <c r="S16" s="28"/>
    </row>
    <row r="17" spans="1:19" ht="12.75" hidden="1" outlineLevel="1">
      <c r="A17" s="41" t="s">
        <v>21</v>
      </c>
      <c r="B17" s="40"/>
      <c r="C17" s="40"/>
      <c r="D17" s="40"/>
      <c r="E17" s="40"/>
      <c r="F17" s="40"/>
      <c r="G17" s="40"/>
      <c r="H17" s="40"/>
      <c r="I17" s="40"/>
      <c r="J17" s="40"/>
      <c r="K17" s="40"/>
      <c r="L17" s="40"/>
      <c r="M17" s="40"/>
      <c r="N17" s="40"/>
      <c r="O17" s="40"/>
      <c r="P17" s="40"/>
      <c r="Q17" s="40"/>
      <c r="R17" s="40"/>
      <c r="S17" s="39"/>
    </row>
    <row r="18" spans="1:19" ht="12.75" hidden="1" outlineLevel="1">
      <c r="A18" s="47" t="s">
        <v>12</v>
      </c>
      <c r="B18" s="30"/>
      <c r="C18" s="30"/>
      <c r="D18" s="30"/>
      <c r="E18" s="30"/>
      <c r="F18" s="30"/>
      <c r="G18" s="30"/>
      <c r="H18" s="30"/>
      <c r="I18" s="30"/>
      <c r="J18" s="30"/>
      <c r="K18" s="30"/>
      <c r="L18" s="30"/>
      <c r="M18" s="30"/>
      <c r="N18" s="30"/>
      <c r="O18" s="30"/>
      <c r="P18" s="30"/>
      <c r="Q18" s="30"/>
      <c r="R18" s="30"/>
      <c r="S18" s="5"/>
    </row>
    <row r="19" spans="1:19" ht="25.5" hidden="1" outlineLevel="1">
      <c r="A19" s="47" t="s">
        <v>16</v>
      </c>
      <c r="B19" s="30"/>
      <c r="C19" s="30"/>
      <c r="D19" s="30"/>
      <c r="E19" s="30"/>
      <c r="F19" s="30"/>
      <c r="G19" s="30"/>
      <c r="H19" s="30"/>
      <c r="I19" s="30"/>
      <c r="J19" s="30"/>
      <c r="K19" s="30"/>
      <c r="L19" s="30"/>
      <c r="M19" s="30"/>
      <c r="N19" s="30"/>
      <c r="O19" s="30"/>
      <c r="P19" s="30"/>
      <c r="Q19" s="30"/>
      <c r="R19" s="30"/>
      <c r="S19" s="5"/>
    </row>
    <row r="20" spans="1:19" ht="12.75" hidden="1" outlineLevel="1">
      <c r="A20" s="46" t="s">
        <v>20</v>
      </c>
      <c r="B20" s="29">
        <f aca="true" t="shared" si="2" ref="B20:S20">SUM(B18:B19)</f>
        <v>0</v>
      </c>
      <c r="C20" s="29">
        <f t="shared" si="2"/>
        <v>0</v>
      </c>
      <c r="D20" s="29">
        <f t="shared" si="2"/>
        <v>0</v>
      </c>
      <c r="E20" s="29">
        <f t="shared" si="2"/>
        <v>0</v>
      </c>
      <c r="F20" s="29">
        <f t="shared" si="2"/>
        <v>0</v>
      </c>
      <c r="G20" s="29">
        <f t="shared" si="2"/>
        <v>0</v>
      </c>
      <c r="H20" s="29">
        <f t="shared" si="2"/>
        <v>0</v>
      </c>
      <c r="I20" s="29">
        <f t="shared" si="2"/>
        <v>0</v>
      </c>
      <c r="J20" s="29">
        <f t="shared" si="2"/>
        <v>0</v>
      </c>
      <c r="K20" s="29">
        <f t="shared" si="2"/>
        <v>0</v>
      </c>
      <c r="L20" s="29">
        <f t="shared" si="2"/>
        <v>0</v>
      </c>
      <c r="M20" s="29">
        <f t="shared" si="2"/>
        <v>0</v>
      </c>
      <c r="N20" s="29">
        <f t="shared" si="2"/>
        <v>0</v>
      </c>
      <c r="O20" s="29">
        <f t="shared" si="2"/>
        <v>0</v>
      </c>
      <c r="P20" s="29">
        <f t="shared" si="2"/>
        <v>0</v>
      </c>
      <c r="Q20" s="29">
        <f t="shared" si="2"/>
        <v>0</v>
      </c>
      <c r="R20" s="29">
        <f t="shared" si="2"/>
        <v>0</v>
      </c>
      <c r="S20" s="28">
        <f t="shared" si="2"/>
        <v>0</v>
      </c>
    </row>
    <row r="21" spans="1:19" ht="12.75" hidden="1" outlineLevel="1">
      <c r="A21" s="49" t="s">
        <v>14</v>
      </c>
      <c r="B21" s="27"/>
      <c r="C21" s="27"/>
      <c r="D21" s="27"/>
      <c r="E21" s="27"/>
      <c r="F21" s="27"/>
      <c r="G21" s="27"/>
      <c r="H21" s="27"/>
      <c r="I21" s="27"/>
      <c r="J21" s="27"/>
      <c r="K21" s="27"/>
      <c r="L21" s="27"/>
      <c r="M21" s="27"/>
      <c r="N21" s="27"/>
      <c r="O21" s="27"/>
      <c r="P21" s="27"/>
      <c r="Q21" s="27"/>
      <c r="R21" s="27"/>
      <c r="S21" s="26"/>
    </row>
    <row r="22" spans="1:19" ht="12.75" hidden="1" outlineLevel="1">
      <c r="A22" s="5"/>
      <c r="B22" s="42"/>
      <c r="C22" s="42"/>
      <c r="D22" s="42"/>
      <c r="E22" s="42"/>
      <c r="F22" s="42"/>
      <c r="G22" s="42"/>
      <c r="H22" s="42"/>
      <c r="I22" s="42"/>
      <c r="J22" s="42"/>
      <c r="K22" s="42"/>
      <c r="L22" s="42"/>
      <c r="M22" s="42"/>
      <c r="N22" s="42"/>
      <c r="O22" s="42"/>
      <c r="P22" s="42"/>
      <c r="Q22" s="42"/>
      <c r="R22" s="42"/>
      <c r="S22" s="28"/>
    </row>
    <row r="23" spans="1:19" ht="12.75" hidden="1" outlineLevel="1">
      <c r="A23" s="38" t="s">
        <v>19</v>
      </c>
      <c r="B23" s="37"/>
      <c r="C23" s="37"/>
      <c r="D23" s="37"/>
      <c r="E23" s="37"/>
      <c r="F23" s="37"/>
      <c r="G23" s="37"/>
      <c r="H23" s="37"/>
      <c r="I23" s="37"/>
      <c r="J23" s="37"/>
      <c r="K23" s="37"/>
      <c r="L23" s="37"/>
      <c r="M23" s="37"/>
      <c r="N23" s="37"/>
      <c r="O23" s="37"/>
      <c r="P23" s="37"/>
      <c r="Q23" s="37"/>
      <c r="R23" s="37"/>
      <c r="S23" s="36"/>
    </row>
    <row r="24" spans="1:19" ht="12.75" hidden="1" outlineLevel="1">
      <c r="A24" s="47" t="s">
        <v>12</v>
      </c>
      <c r="B24" s="30"/>
      <c r="C24" s="30"/>
      <c r="D24" s="30"/>
      <c r="E24" s="30"/>
      <c r="F24" s="30"/>
      <c r="G24" s="30"/>
      <c r="H24" s="30"/>
      <c r="I24" s="30"/>
      <c r="J24" s="30"/>
      <c r="K24" s="30"/>
      <c r="L24" s="30"/>
      <c r="M24" s="30"/>
      <c r="N24" s="30"/>
      <c r="O24" s="30"/>
      <c r="P24" s="30"/>
      <c r="Q24" s="30"/>
      <c r="R24" s="30"/>
      <c r="S24" s="5"/>
    </row>
    <row r="25" spans="1:19" ht="25.5" hidden="1" outlineLevel="1">
      <c r="A25" s="47" t="s">
        <v>16</v>
      </c>
      <c r="B25" s="30"/>
      <c r="C25" s="30"/>
      <c r="D25" s="30"/>
      <c r="E25" s="30"/>
      <c r="F25" s="30"/>
      <c r="G25" s="30"/>
      <c r="H25" s="30"/>
      <c r="I25" s="30"/>
      <c r="J25" s="30"/>
      <c r="K25" s="30"/>
      <c r="L25" s="30"/>
      <c r="M25" s="30"/>
      <c r="N25" s="30"/>
      <c r="O25" s="30"/>
      <c r="P25" s="30"/>
      <c r="Q25" s="30"/>
      <c r="R25" s="30"/>
      <c r="S25" s="5"/>
    </row>
    <row r="26" spans="1:19" ht="12.75" hidden="1" outlineLevel="1">
      <c r="A26" s="46" t="s">
        <v>18</v>
      </c>
      <c r="B26" s="29">
        <f aca="true" t="shared" si="3" ref="B26:S26">SUM(B24:B25)</f>
        <v>0</v>
      </c>
      <c r="C26" s="29">
        <f t="shared" si="3"/>
        <v>0</v>
      </c>
      <c r="D26" s="29">
        <f t="shared" si="3"/>
        <v>0</v>
      </c>
      <c r="E26" s="29">
        <f t="shared" si="3"/>
        <v>0</v>
      </c>
      <c r="F26" s="29">
        <f t="shared" si="3"/>
        <v>0</v>
      </c>
      <c r="G26" s="29">
        <f t="shared" si="3"/>
        <v>0</v>
      </c>
      <c r="H26" s="29">
        <f t="shared" si="3"/>
        <v>0</v>
      </c>
      <c r="I26" s="29">
        <f t="shared" si="3"/>
        <v>0</v>
      </c>
      <c r="J26" s="29">
        <f t="shared" si="3"/>
        <v>0</v>
      </c>
      <c r="K26" s="29">
        <f t="shared" si="3"/>
        <v>0</v>
      </c>
      <c r="L26" s="29">
        <f t="shared" si="3"/>
        <v>0</v>
      </c>
      <c r="M26" s="29">
        <f t="shared" si="3"/>
        <v>0</v>
      </c>
      <c r="N26" s="29">
        <f t="shared" si="3"/>
        <v>0</v>
      </c>
      <c r="O26" s="29">
        <f t="shared" si="3"/>
        <v>0</v>
      </c>
      <c r="P26" s="29">
        <f t="shared" si="3"/>
        <v>0</v>
      </c>
      <c r="Q26" s="29">
        <f t="shared" si="3"/>
        <v>0</v>
      </c>
      <c r="R26" s="29">
        <f t="shared" si="3"/>
        <v>0</v>
      </c>
      <c r="S26" s="28">
        <f t="shared" si="3"/>
        <v>0</v>
      </c>
    </row>
    <row r="27" spans="1:19" ht="12.75" hidden="1" outlineLevel="1">
      <c r="A27" s="51" t="s">
        <v>14</v>
      </c>
      <c r="B27" s="35"/>
      <c r="C27" s="35"/>
      <c r="D27" s="35"/>
      <c r="E27" s="35"/>
      <c r="F27" s="35"/>
      <c r="G27" s="35"/>
      <c r="H27" s="35"/>
      <c r="I27" s="35"/>
      <c r="J27" s="35"/>
      <c r="K27" s="35"/>
      <c r="L27" s="35"/>
      <c r="M27" s="35"/>
      <c r="N27" s="35"/>
      <c r="O27" s="35"/>
      <c r="P27" s="35"/>
      <c r="Q27" s="35"/>
      <c r="R27" s="35"/>
      <c r="S27" s="34"/>
    </row>
    <row r="28" spans="1:19" ht="12.75" hidden="1" outlineLevel="1">
      <c r="A28" s="5"/>
      <c r="B28" s="42"/>
      <c r="C28" s="42"/>
      <c r="D28" s="42"/>
      <c r="E28" s="42"/>
      <c r="F28" s="42"/>
      <c r="G28" s="42"/>
      <c r="H28" s="42"/>
      <c r="I28" s="42"/>
      <c r="J28" s="42"/>
      <c r="K28" s="42"/>
      <c r="L28" s="42"/>
      <c r="M28" s="42"/>
      <c r="N28" s="42"/>
      <c r="O28" s="42"/>
      <c r="P28" s="42"/>
      <c r="Q28" s="42"/>
      <c r="R28" s="42"/>
      <c r="S28" s="28"/>
    </row>
    <row r="29" spans="1:19" ht="12.75" hidden="1" outlineLevel="1">
      <c r="A29" s="33" t="s">
        <v>17</v>
      </c>
      <c r="B29" s="32"/>
      <c r="C29" s="32"/>
      <c r="D29" s="32"/>
      <c r="E29" s="32"/>
      <c r="F29" s="32"/>
      <c r="G29" s="32"/>
      <c r="H29" s="32"/>
      <c r="I29" s="32"/>
      <c r="J29" s="32"/>
      <c r="K29" s="32"/>
      <c r="L29" s="32"/>
      <c r="M29" s="32"/>
      <c r="N29" s="32"/>
      <c r="O29" s="32"/>
      <c r="P29" s="32"/>
      <c r="Q29" s="32"/>
      <c r="R29" s="32"/>
      <c r="S29" s="31"/>
    </row>
    <row r="30" spans="1:19" ht="12.75" hidden="1" outlineLevel="1">
      <c r="A30" s="47" t="s">
        <v>12</v>
      </c>
      <c r="B30" s="30"/>
      <c r="C30" s="30"/>
      <c r="D30" s="30"/>
      <c r="E30" s="30"/>
      <c r="F30" s="30"/>
      <c r="G30" s="30"/>
      <c r="H30" s="30"/>
      <c r="I30" s="30"/>
      <c r="J30" s="30"/>
      <c r="K30" s="30"/>
      <c r="L30" s="30"/>
      <c r="M30" s="30"/>
      <c r="N30" s="30"/>
      <c r="O30" s="30"/>
      <c r="P30" s="30"/>
      <c r="Q30" s="30"/>
      <c r="R30" s="30"/>
      <c r="S30" s="5"/>
    </row>
    <row r="31" spans="1:19" ht="25.5" hidden="1" outlineLevel="1">
      <c r="A31" s="47" t="s">
        <v>16</v>
      </c>
      <c r="B31" s="30"/>
      <c r="C31" s="30"/>
      <c r="D31" s="30"/>
      <c r="E31" s="30"/>
      <c r="F31" s="30"/>
      <c r="G31" s="30"/>
      <c r="H31" s="30"/>
      <c r="I31" s="30"/>
      <c r="J31" s="30"/>
      <c r="K31" s="30"/>
      <c r="L31" s="30"/>
      <c r="M31" s="30"/>
      <c r="N31" s="30"/>
      <c r="O31" s="30"/>
      <c r="P31" s="30"/>
      <c r="Q31" s="30"/>
      <c r="R31" s="30"/>
      <c r="S31" s="5"/>
    </row>
    <row r="32" spans="1:19" ht="12.75" hidden="1" outlineLevel="1">
      <c r="A32" s="46" t="s">
        <v>15</v>
      </c>
      <c r="B32" s="29">
        <f aca="true" t="shared" si="4" ref="B32:S32">SUM(B30:B31)</f>
        <v>0</v>
      </c>
      <c r="C32" s="29">
        <f t="shared" si="4"/>
        <v>0</v>
      </c>
      <c r="D32" s="29">
        <f t="shared" si="4"/>
        <v>0</v>
      </c>
      <c r="E32" s="29">
        <f t="shared" si="4"/>
        <v>0</v>
      </c>
      <c r="F32" s="29">
        <f t="shared" si="4"/>
        <v>0</v>
      </c>
      <c r="G32" s="29">
        <f t="shared" si="4"/>
        <v>0</v>
      </c>
      <c r="H32" s="29">
        <f t="shared" si="4"/>
        <v>0</v>
      </c>
      <c r="I32" s="29">
        <f t="shared" si="4"/>
        <v>0</v>
      </c>
      <c r="J32" s="29">
        <f t="shared" si="4"/>
        <v>0</v>
      </c>
      <c r="K32" s="29">
        <f t="shared" si="4"/>
        <v>0</v>
      </c>
      <c r="L32" s="29">
        <f t="shared" si="4"/>
        <v>0</v>
      </c>
      <c r="M32" s="29">
        <f t="shared" si="4"/>
        <v>0</v>
      </c>
      <c r="N32" s="29">
        <f t="shared" si="4"/>
        <v>0</v>
      </c>
      <c r="O32" s="29">
        <f t="shared" si="4"/>
        <v>0</v>
      </c>
      <c r="P32" s="29">
        <f t="shared" si="4"/>
        <v>0</v>
      </c>
      <c r="Q32" s="29">
        <f t="shared" si="4"/>
        <v>0</v>
      </c>
      <c r="R32" s="29">
        <f t="shared" si="4"/>
        <v>0</v>
      </c>
      <c r="S32" s="28">
        <f t="shared" si="4"/>
        <v>0</v>
      </c>
    </row>
    <row r="33" spans="1:19" ht="12.75" hidden="1" outlineLevel="1">
      <c r="A33" s="49" t="s">
        <v>14</v>
      </c>
      <c r="B33" s="27"/>
      <c r="C33" s="27"/>
      <c r="D33" s="27"/>
      <c r="E33" s="27"/>
      <c r="F33" s="27"/>
      <c r="G33" s="27"/>
      <c r="H33" s="27"/>
      <c r="I33" s="27"/>
      <c r="J33" s="27"/>
      <c r="K33" s="27"/>
      <c r="L33" s="27"/>
      <c r="M33" s="27"/>
      <c r="N33" s="27"/>
      <c r="O33" s="27"/>
      <c r="P33" s="27"/>
      <c r="Q33" s="27"/>
      <c r="R33" s="27"/>
      <c r="S33" s="26"/>
    </row>
    <row r="34" spans="1:19" ht="12.75" collapsed="1">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c r="C36" s="30"/>
      <c r="D36" s="30"/>
      <c r="E36" s="30"/>
      <c r="F36" s="30"/>
      <c r="G36" s="30"/>
      <c r="H36" s="30"/>
      <c r="I36" s="30"/>
      <c r="J36" s="30"/>
      <c r="K36" s="30"/>
      <c r="L36" s="30"/>
      <c r="M36" s="30"/>
      <c r="N36" s="30"/>
      <c r="O36" s="30"/>
      <c r="P36" s="30"/>
      <c r="Q36" s="30"/>
      <c r="R36" s="30"/>
      <c r="S36" s="5"/>
    </row>
    <row r="37" spans="1:19" ht="25.5">
      <c r="A37" s="47" t="s">
        <v>16</v>
      </c>
      <c r="B37" s="30"/>
      <c r="C37" s="30"/>
      <c r="D37" s="30"/>
      <c r="E37" s="30"/>
      <c r="F37" s="30"/>
      <c r="G37" s="30"/>
      <c r="H37" s="30"/>
      <c r="I37" s="30"/>
      <c r="J37" s="30"/>
      <c r="K37" s="30"/>
      <c r="L37" s="30"/>
      <c r="M37" s="30"/>
      <c r="N37" s="30"/>
      <c r="O37" s="30"/>
      <c r="P37" s="30"/>
      <c r="Q37" s="30"/>
      <c r="R37" s="30"/>
      <c r="S37" s="5"/>
    </row>
    <row r="38" spans="1:19" ht="12.75">
      <c r="A38" s="46" t="s">
        <v>18</v>
      </c>
      <c r="B38" s="29"/>
      <c r="C38" s="29"/>
      <c r="D38" s="29"/>
      <c r="E38" s="29"/>
      <c r="F38" s="29"/>
      <c r="G38" s="29"/>
      <c r="H38" s="29"/>
      <c r="I38" s="29"/>
      <c r="J38" s="29"/>
      <c r="K38" s="29"/>
      <c r="L38" s="29"/>
      <c r="M38" s="29"/>
      <c r="N38" s="29"/>
      <c r="O38" s="29"/>
      <c r="P38" s="29"/>
      <c r="Q38" s="29"/>
      <c r="R38" s="29"/>
      <c r="S38" s="28"/>
    </row>
    <row r="39" spans="1:19" ht="12.75">
      <c r="A39" s="51" t="s">
        <v>14</v>
      </c>
      <c r="B39" s="35"/>
      <c r="C39" s="35"/>
      <c r="D39" s="35"/>
      <c r="E39" s="35"/>
      <c r="F39" s="35"/>
      <c r="G39" s="35"/>
      <c r="H39" s="35"/>
      <c r="I39" s="35"/>
      <c r="J39" s="35"/>
      <c r="K39" s="35"/>
      <c r="L39" s="35"/>
      <c r="M39" s="35"/>
      <c r="N39" s="35"/>
      <c r="O39" s="35"/>
      <c r="P39" s="35"/>
      <c r="Q39" s="35"/>
      <c r="R39" s="35"/>
      <c r="S39" s="34"/>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c r="E42" s="30"/>
      <c r="F42" s="30"/>
      <c r="G42" s="30"/>
      <c r="H42" s="30"/>
      <c r="I42" s="30"/>
      <c r="J42" s="30"/>
      <c r="K42" s="30"/>
      <c r="L42" s="30"/>
      <c r="M42" s="30"/>
      <c r="N42" s="30"/>
      <c r="O42" s="30"/>
      <c r="P42" s="30"/>
      <c r="Q42" s="30"/>
      <c r="R42" s="30">
        <f>371+459</f>
        <v>830</v>
      </c>
      <c r="S42" s="5">
        <f>344+795</f>
        <v>1139</v>
      </c>
    </row>
    <row r="43" spans="1:19" ht="25.5">
      <c r="A43" s="47" t="s">
        <v>16</v>
      </c>
      <c r="B43" s="30"/>
      <c r="C43" s="30"/>
      <c r="D43" s="30"/>
      <c r="E43" s="30">
        <f>385+375</f>
        <v>760</v>
      </c>
      <c r="F43" s="30">
        <f>587+326</f>
        <v>913</v>
      </c>
      <c r="G43" s="30">
        <f>692+458</f>
        <v>1150</v>
      </c>
      <c r="H43" s="30">
        <f>690+644</f>
        <v>1334</v>
      </c>
      <c r="I43" s="30">
        <f>626+677</f>
        <v>1303</v>
      </c>
      <c r="J43" s="30">
        <f>667+479</f>
        <v>1146</v>
      </c>
      <c r="K43" s="30">
        <f>416+573</f>
        <v>989</v>
      </c>
      <c r="L43" s="30">
        <f>1397+552</f>
        <v>1949</v>
      </c>
      <c r="M43" s="30">
        <f>2056+420</f>
        <v>2476</v>
      </c>
      <c r="N43" s="30">
        <f>1367+584</f>
        <v>1951</v>
      </c>
      <c r="O43" s="30">
        <f>1481+801</f>
        <v>2282</v>
      </c>
      <c r="P43" s="30">
        <f>1580+830</f>
        <v>2410</v>
      </c>
      <c r="Q43" s="30">
        <f>1683+807</f>
        <v>2490</v>
      </c>
      <c r="R43" s="30">
        <f>694+16+1714+220</f>
        <v>2644</v>
      </c>
      <c r="S43" s="5">
        <f>701+1767+43</f>
        <v>2511</v>
      </c>
    </row>
    <row r="44" spans="1:19" ht="12.75">
      <c r="A44" s="46" t="s">
        <v>18</v>
      </c>
      <c r="B44" s="29"/>
      <c r="C44" s="29"/>
      <c r="D44" s="29"/>
      <c r="E44" s="29">
        <f>SUM(E42:E43)</f>
        <v>760</v>
      </c>
      <c r="F44" s="29">
        <f aca="true" t="shared" si="5" ref="F44:S44">SUM(F42:F43)</f>
        <v>913</v>
      </c>
      <c r="G44" s="29">
        <f t="shared" si="5"/>
        <v>1150</v>
      </c>
      <c r="H44" s="29">
        <f t="shared" si="5"/>
        <v>1334</v>
      </c>
      <c r="I44" s="29">
        <f t="shared" si="5"/>
        <v>1303</v>
      </c>
      <c r="J44" s="29">
        <f t="shared" si="5"/>
        <v>1146</v>
      </c>
      <c r="K44" s="29">
        <f t="shared" si="5"/>
        <v>989</v>
      </c>
      <c r="L44" s="29">
        <f t="shared" si="5"/>
        <v>1949</v>
      </c>
      <c r="M44" s="29">
        <f t="shared" si="5"/>
        <v>2476</v>
      </c>
      <c r="N44" s="29">
        <f t="shared" si="5"/>
        <v>1951</v>
      </c>
      <c r="O44" s="29">
        <f t="shared" si="5"/>
        <v>2282</v>
      </c>
      <c r="P44" s="29">
        <f t="shared" si="5"/>
        <v>2410</v>
      </c>
      <c r="Q44" s="29">
        <f t="shared" si="5"/>
        <v>2490</v>
      </c>
      <c r="R44" s="29">
        <f t="shared" si="5"/>
        <v>3474</v>
      </c>
      <c r="S44" s="28">
        <f t="shared" si="5"/>
        <v>3650</v>
      </c>
    </row>
    <row r="45" spans="1:20" ht="12.75">
      <c r="A45" s="51" t="s">
        <v>14</v>
      </c>
      <c r="B45" s="35"/>
      <c r="C45" s="35"/>
      <c r="D45" s="35"/>
      <c r="E45" s="35">
        <f aca="true" t="shared" si="6" ref="E45:S45">E44-E67</f>
        <v>-1687</v>
      </c>
      <c r="F45" s="35">
        <f t="shared" si="6"/>
        <v>-1851</v>
      </c>
      <c r="G45" s="35">
        <f t="shared" si="6"/>
        <v>-2079</v>
      </c>
      <c r="H45" s="35">
        <f t="shared" si="6"/>
        <v>-2107</v>
      </c>
      <c r="I45" s="35">
        <f t="shared" si="6"/>
        <v>-2331</v>
      </c>
      <c r="J45" s="35">
        <f t="shared" si="6"/>
        <v>-2521</v>
      </c>
      <c r="K45" s="35">
        <f t="shared" si="6"/>
        <v>-2570</v>
      </c>
      <c r="L45" s="35">
        <f t="shared" si="6"/>
        <v>-3121</v>
      </c>
      <c r="M45" s="35">
        <f t="shared" si="6"/>
        <v>-3841</v>
      </c>
      <c r="N45" s="35">
        <f t="shared" si="6"/>
        <v>-3555</v>
      </c>
      <c r="O45" s="35">
        <f t="shared" si="6"/>
        <v>-3479</v>
      </c>
      <c r="P45" s="35">
        <f t="shared" si="6"/>
        <v>-4112</v>
      </c>
      <c r="Q45" s="35">
        <f t="shared" si="6"/>
        <v>-4364</v>
      </c>
      <c r="R45" s="35">
        <f t="shared" si="6"/>
        <v>-3884</v>
      </c>
      <c r="S45" s="34">
        <f t="shared" si="6"/>
        <v>-3566</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v>1147</v>
      </c>
      <c r="C48" s="2">
        <v>998</v>
      </c>
      <c r="D48" s="2">
        <v>1098</v>
      </c>
      <c r="E48" s="2">
        <v>1072</v>
      </c>
      <c r="F48" s="2">
        <v>1081</v>
      </c>
      <c r="G48" s="2">
        <v>1060</v>
      </c>
      <c r="H48" s="2">
        <v>1379</v>
      </c>
      <c r="I48" s="2">
        <v>1426</v>
      </c>
      <c r="J48" s="2">
        <v>1426</v>
      </c>
      <c r="K48" s="89">
        <v>1547</v>
      </c>
      <c r="L48" s="89">
        <v>1558</v>
      </c>
      <c r="M48" s="89">
        <v>1802</v>
      </c>
      <c r="N48" s="89">
        <v>1739</v>
      </c>
      <c r="O48" s="89">
        <v>2088</v>
      </c>
      <c r="P48" s="89">
        <v>2617</v>
      </c>
      <c r="Q48" s="89">
        <v>2851</v>
      </c>
      <c r="R48" s="2">
        <v>2411</v>
      </c>
      <c r="S48" s="5">
        <f>2858+62+470</f>
        <v>3390</v>
      </c>
    </row>
    <row r="49" spans="1:19" ht="25.5">
      <c r="A49" s="47" t="s">
        <v>16</v>
      </c>
      <c r="B49" s="2">
        <v>841</v>
      </c>
      <c r="C49" s="2">
        <f>C50-C48</f>
        <v>784</v>
      </c>
      <c r="D49" s="2">
        <v>688</v>
      </c>
      <c r="E49" s="2">
        <v>31</v>
      </c>
      <c r="F49" s="2">
        <v>108</v>
      </c>
      <c r="G49" s="2">
        <v>92</v>
      </c>
      <c r="H49" s="2">
        <f>65</f>
        <v>65</v>
      </c>
      <c r="I49" s="2">
        <f>54</f>
        <v>54</v>
      </c>
      <c r="J49" s="2">
        <f>61</f>
        <v>61</v>
      </c>
      <c r="K49" s="2">
        <f>92</f>
        <v>92</v>
      </c>
      <c r="L49" s="2">
        <f>106</f>
        <v>106</v>
      </c>
      <c r="M49" s="2">
        <f>121</f>
        <v>121</v>
      </c>
      <c r="N49" s="2">
        <f>177</f>
        <v>177</v>
      </c>
      <c r="O49" s="2">
        <f>392</f>
        <v>392</v>
      </c>
      <c r="P49" s="2">
        <f>327</f>
        <v>327</v>
      </c>
      <c r="Q49" s="2">
        <f>181</f>
        <v>181</v>
      </c>
      <c r="R49" s="2">
        <f>350+11+420</f>
        <v>781</v>
      </c>
      <c r="S49" s="5">
        <f>246</f>
        <v>246</v>
      </c>
    </row>
    <row r="50" spans="1:19" ht="12.75">
      <c r="A50" s="46" t="s">
        <v>18</v>
      </c>
      <c r="B50" s="29">
        <f>SUM(B48:B49)</f>
        <v>1988</v>
      </c>
      <c r="C50" s="29">
        <v>1782</v>
      </c>
      <c r="D50" s="29">
        <f aca="true" t="shared" si="7" ref="D50:S50">SUM(D48:D49)</f>
        <v>1786</v>
      </c>
      <c r="E50" s="29">
        <f t="shared" si="7"/>
        <v>1103</v>
      </c>
      <c r="F50" s="29">
        <f t="shared" si="7"/>
        <v>1189</v>
      </c>
      <c r="G50" s="29">
        <f t="shared" si="7"/>
        <v>1152</v>
      </c>
      <c r="H50" s="29">
        <f t="shared" si="7"/>
        <v>1444</v>
      </c>
      <c r="I50" s="29">
        <f t="shared" si="7"/>
        <v>1480</v>
      </c>
      <c r="J50" s="29">
        <f t="shared" si="7"/>
        <v>1487</v>
      </c>
      <c r="K50" s="29">
        <f t="shared" si="7"/>
        <v>1639</v>
      </c>
      <c r="L50" s="29">
        <f t="shared" si="7"/>
        <v>1664</v>
      </c>
      <c r="M50" s="29">
        <f t="shared" si="7"/>
        <v>1923</v>
      </c>
      <c r="N50" s="29">
        <f t="shared" si="7"/>
        <v>1916</v>
      </c>
      <c r="O50" s="29">
        <f t="shared" si="7"/>
        <v>2480</v>
      </c>
      <c r="P50" s="29">
        <f t="shared" si="7"/>
        <v>2944</v>
      </c>
      <c r="Q50" s="29">
        <f t="shared" si="7"/>
        <v>3032</v>
      </c>
      <c r="R50" s="29">
        <f t="shared" si="7"/>
        <v>3192</v>
      </c>
      <c r="S50" s="28">
        <f t="shared" si="7"/>
        <v>3636</v>
      </c>
    </row>
    <row r="51" spans="1:19" ht="12.75">
      <c r="A51" s="51" t="s">
        <v>14</v>
      </c>
      <c r="B51" s="35">
        <f aca="true" t="shared" si="8" ref="B51:S51">B50-B68</f>
        <v>-999</v>
      </c>
      <c r="C51" s="35">
        <f t="shared" si="8"/>
        <v>-2054</v>
      </c>
      <c r="D51" s="35">
        <f t="shared" si="8"/>
        <v>-2186</v>
      </c>
      <c r="E51" s="35">
        <f t="shared" si="8"/>
        <v>-1000</v>
      </c>
      <c r="F51" s="35">
        <f t="shared" si="8"/>
        <v>-1029</v>
      </c>
      <c r="G51" s="35">
        <f t="shared" si="8"/>
        <v>-1236</v>
      </c>
      <c r="H51" s="35">
        <f t="shared" si="8"/>
        <v>-857</v>
      </c>
      <c r="I51" s="35">
        <f t="shared" si="8"/>
        <v>-812</v>
      </c>
      <c r="J51" s="35">
        <f t="shared" si="8"/>
        <v>-820</v>
      </c>
      <c r="K51" s="35">
        <f t="shared" si="8"/>
        <v>-827</v>
      </c>
      <c r="L51" s="35">
        <f t="shared" si="8"/>
        <v>-971</v>
      </c>
      <c r="M51" s="35">
        <f t="shared" si="8"/>
        <v>-1035</v>
      </c>
      <c r="N51" s="35">
        <f t="shared" si="8"/>
        <v>-1204</v>
      </c>
      <c r="O51" s="35">
        <f t="shared" si="8"/>
        <v>-1044</v>
      </c>
      <c r="P51" s="35">
        <f t="shared" si="8"/>
        <v>-470</v>
      </c>
      <c r="Q51" s="35">
        <f t="shared" si="8"/>
        <v>-552</v>
      </c>
      <c r="R51" s="35">
        <f t="shared" si="8"/>
        <v>-1837</v>
      </c>
      <c r="S51" s="34">
        <f t="shared" si="8"/>
        <v>-1900</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9" ref="B54:S54">SUM(B18,B24,B30,B36,B42,B48)</f>
        <v>1147</v>
      </c>
      <c r="C54" s="66">
        <f t="shared" si="9"/>
        <v>998</v>
      </c>
      <c r="D54" s="66">
        <f t="shared" si="9"/>
        <v>1098</v>
      </c>
      <c r="E54" s="66">
        <f>SUM(E18,E24,E30,E36,E42,E48)</f>
        <v>1072</v>
      </c>
      <c r="F54" s="66">
        <f t="shared" si="9"/>
        <v>1081</v>
      </c>
      <c r="G54" s="66">
        <f t="shared" si="9"/>
        <v>1060</v>
      </c>
      <c r="H54" s="66">
        <f t="shared" si="9"/>
        <v>1379</v>
      </c>
      <c r="I54" s="66">
        <f t="shared" si="9"/>
        <v>1426</v>
      </c>
      <c r="J54" s="66">
        <f t="shared" si="9"/>
        <v>1426</v>
      </c>
      <c r="K54" s="66">
        <f t="shared" si="9"/>
        <v>1547</v>
      </c>
      <c r="L54" s="66">
        <f t="shared" si="9"/>
        <v>1558</v>
      </c>
      <c r="M54" s="66">
        <f t="shared" si="9"/>
        <v>1802</v>
      </c>
      <c r="N54" s="66">
        <f t="shared" si="9"/>
        <v>1739</v>
      </c>
      <c r="O54" s="66">
        <f t="shared" si="9"/>
        <v>2088</v>
      </c>
      <c r="P54" s="66">
        <f t="shared" si="9"/>
        <v>2617</v>
      </c>
      <c r="Q54" s="66">
        <f t="shared" si="9"/>
        <v>2851</v>
      </c>
      <c r="R54" s="66">
        <f t="shared" si="9"/>
        <v>3241</v>
      </c>
      <c r="S54" s="67">
        <f t="shared" si="9"/>
        <v>4529</v>
      </c>
    </row>
    <row r="55" spans="1:19" ht="12.75">
      <c r="A55" s="53" t="s">
        <v>11</v>
      </c>
      <c r="B55" s="22">
        <f aca="true" t="shared" si="10" ref="B55:S55">SUM(B19,B25,B31,B37,B43,B49)</f>
        <v>841</v>
      </c>
      <c r="C55" s="22">
        <f t="shared" si="10"/>
        <v>784</v>
      </c>
      <c r="D55" s="22">
        <f t="shared" si="10"/>
        <v>688</v>
      </c>
      <c r="E55" s="22">
        <f>SUM(E19,E25,E31,E37,E43,E49)</f>
        <v>791</v>
      </c>
      <c r="F55" s="22">
        <f t="shared" si="10"/>
        <v>1021</v>
      </c>
      <c r="G55" s="22">
        <f t="shared" si="10"/>
        <v>1242</v>
      </c>
      <c r="H55" s="22">
        <f t="shared" si="10"/>
        <v>1399</v>
      </c>
      <c r="I55" s="22">
        <f t="shared" si="10"/>
        <v>1357</v>
      </c>
      <c r="J55" s="22">
        <f t="shared" si="10"/>
        <v>1207</v>
      </c>
      <c r="K55" s="22">
        <f t="shared" si="10"/>
        <v>1081</v>
      </c>
      <c r="L55" s="22">
        <f t="shared" si="10"/>
        <v>2055</v>
      </c>
      <c r="M55" s="22">
        <f t="shared" si="10"/>
        <v>2597</v>
      </c>
      <c r="N55" s="22">
        <f t="shared" si="10"/>
        <v>2128</v>
      </c>
      <c r="O55" s="22">
        <f t="shared" si="10"/>
        <v>2674</v>
      </c>
      <c r="P55" s="22">
        <f t="shared" si="10"/>
        <v>2737</v>
      </c>
      <c r="Q55" s="22">
        <f t="shared" si="10"/>
        <v>2671</v>
      </c>
      <c r="R55" s="22">
        <f t="shared" si="10"/>
        <v>3425</v>
      </c>
      <c r="S55" s="21">
        <f t="shared" si="10"/>
        <v>2757</v>
      </c>
    </row>
    <row r="56" spans="1:19" ht="25.5">
      <c r="A56" s="54" t="s">
        <v>10</v>
      </c>
      <c r="B56" s="20">
        <f aca="true" t="shared" si="11" ref="B56:S56">SUM(B20,B26,B32,B38,B44,B50)</f>
        <v>1988</v>
      </c>
      <c r="C56" s="20">
        <f t="shared" si="11"/>
        <v>1782</v>
      </c>
      <c r="D56" s="20">
        <f t="shared" si="11"/>
        <v>1786</v>
      </c>
      <c r="E56" s="20">
        <f t="shared" si="11"/>
        <v>1863</v>
      </c>
      <c r="F56" s="20">
        <f t="shared" si="11"/>
        <v>2102</v>
      </c>
      <c r="G56" s="20">
        <f t="shared" si="11"/>
        <v>2302</v>
      </c>
      <c r="H56" s="20">
        <f t="shared" si="11"/>
        <v>2778</v>
      </c>
      <c r="I56" s="20">
        <f t="shared" si="11"/>
        <v>2783</v>
      </c>
      <c r="J56" s="20">
        <f t="shared" si="11"/>
        <v>2633</v>
      </c>
      <c r="K56" s="20">
        <f t="shared" si="11"/>
        <v>2628</v>
      </c>
      <c r="L56" s="20">
        <f t="shared" si="11"/>
        <v>3613</v>
      </c>
      <c r="M56" s="20">
        <f t="shared" si="11"/>
        <v>4399</v>
      </c>
      <c r="N56" s="20">
        <f t="shared" si="11"/>
        <v>3867</v>
      </c>
      <c r="O56" s="20">
        <f t="shared" si="11"/>
        <v>4762</v>
      </c>
      <c r="P56" s="20">
        <f t="shared" si="11"/>
        <v>5354</v>
      </c>
      <c r="Q56" s="20">
        <f t="shared" si="11"/>
        <v>5522</v>
      </c>
      <c r="R56" s="20">
        <f t="shared" si="11"/>
        <v>6666</v>
      </c>
      <c r="S56" s="19">
        <f t="shared" si="11"/>
        <v>7286</v>
      </c>
    </row>
    <row r="57" spans="1:19" ht="12.75">
      <c r="A57" s="55" t="s">
        <v>9</v>
      </c>
      <c r="B57" s="71">
        <f aca="true" t="shared" si="12" ref="B57:S57">SUM(B21,B27,B33,B39,B45,B51)</f>
        <v>-999</v>
      </c>
      <c r="C57" s="71">
        <f t="shared" si="12"/>
        <v>-2054</v>
      </c>
      <c r="D57" s="71">
        <f t="shared" si="12"/>
        <v>-2186</v>
      </c>
      <c r="E57" s="71">
        <f t="shared" si="12"/>
        <v>-2687</v>
      </c>
      <c r="F57" s="71">
        <f t="shared" si="12"/>
        <v>-2880</v>
      </c>
      <c r="G57" s="71">
        <f t="shared" si="12"/>
        <v>-3315</v>
      </c>
      <c r="H57" s="71">
        <f t="shared" si="12"/>
        <v>-2964</v>
      </c>
      <c r="I57" s="71">
        <f t="shared" si="12"/>
        <v>-3143</v>
      </c>
      <c r="J57" s="71">
        <f t="shared" si="12"/>
        <v>-3341</v>
      </c>
      <c r="K57" s="71">
        <f t="shared" si="12"/>
        <v>-3397</v>
      </c>
      <c r="L57" s="71">
        <f t="shared" si="12"/>
        <v>-4092</v>
      </c>
      <c r="M57" s="71">
        <f t="shared" si="12"/>
        <v>-4876</v>
      </c>
      <c r="N57" s="71">
        <f t="shared" si="12"/>
        <v>-4759</v>
      </c>
      <c r="O57" s="71">
        <f t="shared" si="12"/>
        <v>-4523</v>
      </c>
      <c r="P57" s="71">
        <f t="shared" si="12"/>
        <v>-4582</v>
      </c>
      <c r="Q57" s="71">
        <f t="shared" si="12"/>
        <v>-4916</v>
      </c>
      <c r="R57" s="71">
        <f t="shared" si="12"/>
        <v>-5721</v>
      </c>
      <c r="S57" s="18">
        <f t="shared" si="12"/>
        <v>-5466</v>
      </c>
    </row>
    <row r="58" spans="1:19" ht="12.75">
      <c r="A58" s="56" t="s">
        <v>8</v>
      </c>
      <c r="B58" s="17">
        <f aca="true" t="shared" si="13" ref="B58:S58">B59-B55-B15</f>
        <v>3094</v>
      </c>
      <c r="C58" s="17">
        <f t="shared" si="13"/>
        <v>2661</v>
      </c>
      <c r="D58" s="17">
        <f t="shared" si="13"/>
        <v>2670</v>
      </c>
      <c r="E58" s="17">
        <f t="shared" si="13"/>
        <v>4824</v>
      </c>
      <c r="F58" s="17">
        <f t="shared" si="13"/>
        <v>5348</v>
      </c>
      <c r="G58" s="17">
        <f t="shared" si="13"/>
        <v>5423</v>
      </c>
      <c r="H58" s="17">
        <f t="shared" si="13"/>
        <v>74333</v>
      </c>
      <c r="I58" s="17">
        <f t="shared" si="13"/>
        <v>61728</v>
      </c>
      <c r="J58" s="17">
        <f t="shared" si="13"/>
        <v>54056</v>
      </c>
      <c r="K58" s="17">
        <f t="shared" si="13"/>
        <v>67654</v>
      </c>
      <c r="L58" s="17">
        <f t="shared" si="13"/>
        <v>34638</v>
      </c>
      <c r="M58" s="17">
        <f t="shared" si="13"/>
        <v>23653</v>
      </c>
      <c r="N58" s="17">
        <f t="shared" si="13"/>
        <v>21961</v>
      </c>
      <c r="O58" s="17">
        <f t="shared" si="13"/>
        <v>13452</v>
      </c>
      <c r="P58" s="17">
        <f t="shared" si="13"/>
        <v>41961</v>
      </c>
      <c r="Q58" s="17">
        <f t="shared" si="13"/>
        <v>14405</v>
      </c>
      <c r="R58" s="17">
        <f t="shared" si="13"/>
        <v>22663</v>
      </c>
      <c r="S58" s="16">
        <f t="shared" si="13"/>
        <v>22150</v>
      </c>
    </row>
    <row r="59" spans="1:19" ht="12.75">
      <c r="A59" s="57" t="s">
        <v>7</v>
      </c>
      <c r="B59" s="124">
        <f>3935+1900+1147-129</f>
        <v>6853</v>
      </c>
      <c r="C59" s="124">
        <f>4443+1760</f>
        <v>6203</v>
      </c>
      <c r="D59" s="124">
        <f>3358+2769</f>
        <v>6127</v>
      </c>
      <c r="E59" s="124">
        <f>3591+2790+2025</f>
        <v>8406</v>
      </c>
      <c r="F59" s="124">
        <f>2769+2250+4119</f>
        <v>9138</v>
      </c>
      <c r="G59" s="124">
        <f>4415+2782+2250</f>
        <v>9447</v>
      </c>
      <c r="H59" s="7">
        <v>78574</v>
      </c>
      <c r="I59" s="7">
        <v>66039</v>
      </c>
      <c r="J59" s="7">
        <v>58253</v>
      </c>
      <c r="K59" s="7">
        <v>71899</v>
      </c>
      <c r="L59" s="7">
        <v>39948</v>
      </c>
      <c r="M59" s="7">
        <v>29674</v>
      </c>
      <c r="N59" s="7">
        <v>27534</v>
      </c>
      <c r="O59" s="7">
        <v>20118</v>
      </c>
      <c r="P59" s="7">
        <v>49282</v>
      </c>
      <c r="Q59" s="7">
        <v>22534</v>
      </c>
      <c r="R59" s="7">
        <v>33899</v>
      </c>
      <c r="S59" s="6">
        <v>33724</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111+2547</f>
        <v>2658</v>
      </c>
      <c r="C62" s="2">
        <f>81+1783</f>
        <v>1864</v>
      </c>
      <c r="D62" s="2">
        <f>58+1737</f>
        <v>1795</v>
      </c>
      <c r="E62" s="2">
        <f>58+261+1323</f>
        <v>1642</v>
      </c>
      <c r="F62" s="2">
        <f>1441+269+65</f>
        <v>1775</v>
      </c>
      <c r="G62" s="2">
        <f>73+317+1481</f>
        <v>1871</v>
      </c>
      <c r="H62" s="2">
        <f>1432+315+69</f>
        <v>1816</v>
      </c>
      <c r="I62" s="2">
        <f>336+1473</f>
        <v>1809</v>
      </c>
      <c r="J62" s="2">
        <f>327+1482</f>
        <v>1809</v>
      </c>
      <c r="K62" s="2">
        <f>1404+358+323</f>
        <v>2085</v>
      </c>
      <c r="L62" s="2">
        <f>274+450</f>
        <v>724</v>
      </c>
      <c r="M62" s="2">
        <f>253+352</f>
        <v>605</v>
      </c>
      <c r="N62" s="2">
        <f>285+402</f>
        <v>687</v>
      </c>
      <c r="O62" s="89">
        <f>299+1286</f>
        <v>1585</v>
      </c>
      <c r="P62" s="89">
        <f>1723+338</f>
        <v>2061</v>
      </c>
      <c r="Q62" s="89">
        <f>1784+394</f>
        <v>2178</v>
      </c>
      <c r="R62" s="89">
        <f>3076</f>
        <v>3076</v>
      </c>
      <c r="S62" s="85">
        <v>2820</v>
      </c>
    </row>
    <row r="63" spans="1:19" ht="12.75">
      <c r="A63" s="58" t="s">
        <v>37</v>
      </c>
      <c r="B63" s="91">
        <v>767</v>
      </c>
      <c r="C63" s="91">
        <f>848</f>
        <v>848</v>
      </c>
      <c r="D63" s="91">
        <v>1015</v>
      </c>
      <c r="E63" s="91">
        <f>1240</f>
        <v>1240</v>
      </c>
      <c r="F63" s="91">
        <v>1407</v>
      </c>
      <c r="G63" s="91">
        <v>1375</v>
      </c>
      <c r="H63" s="91">
        <f>1259</f>
        <v>1259</v>
      </c>
      <c r="I63" s="91">
        <f>1546</f>
        <v>1546</v>
      </c>
      <c r="J63" s="91">
        <v>1495</v>
      </c>
      <c r="K63" s="91">
        <v>1206</v>
      </c>
      <c r="L63" s="91">
        <v>1214</v>
      </c>
      <c r="M63" s="91">
        <f>1616</f>
        <v>1616</v>
      </c>
      <c r="N63" s="91">
        <f>1785</f>
        <v>1785</v>
      </c>
      <c r="O63" s="91">
        <f>1843</f>
        <v>1843</v>
      </c>
      <c r="P63" s="91">
        <f>1826</f>
        <v>1826</v>
      </c>
      <c r="Q63" s="91">
        <f>1986</f>
        <v>1986</v>
      </c>
      <c r="R63" s="91">
        <v>2875</v>
      </c>
      <c r="S63" s="111">
        <v>2907</v>
      </c>
    </row>
    <row r="64" spans="1:19" ht="25.5" outlineLevel="1">
      <c r="A64" s="118" t="s">
        <v>52</v>
      </c>
      <c r="B64" s="119"/>
      <c r="C64" s="119"/>
      <c r="D64" s="119"/>
      <c r="E64" s="119"/>
      <c r="F64" s="119"/>
      <c r="G64" s="119"/>
      <c r="H64" s="119"/>
      <c r="I64" s="119"/>
      <c r="J64" s="119"/>
      <c r="K64" s="119"/>
      <c r="L64" s="119"/>
      <c r="M64" s="119"/>
      <c r="N64" s="119"/>
      <c r="O64" s="119"/>
      <c r="P64" s="119"/>
      <c r="Q64" s="119"/>
      <c r="R64" s="119"/>
      <c r="S64" s="127"/>
    </row>
    <row r="65" spans="1:19" ht="12.75" customHeight="1" outlineLevel="1">
      <c r="A65" s="60" t="s">
        <v>5</v>
      </c>
      <c r="B65" s="11"/>
      <c r="C65" s="11"/>
      <c r="D65" s="11"/>
      <c r="E65" s="11"/>
      <c r="F65" s="11"/>
      <c r="G65" s="11"/>
      <c r="H65" s="11"/>
      <c r="I65" s="11"/>
      <c r="J65" s="11"/>
      <c r="K65" s="11"/>
      <c r="L65" s="11"/>
      <c r="M65" s="11"/>
      <c r="N65" s="11"/>
      <c r="O65" s="11"/>
      <c r="P65" s="11"/>
      <c r="Q65" s="11"/>
      <c r="R65" s="11"/>
      <c r="S65" s="112"/>
    </row>
    <row r="66" spans="1:19" ht="12.75">
      <c r="A66" s="118" t="s">
        <v>42</v>
      </c>
      <c r="B66" s="119"/>
      <c r="C66" s="119"/>
      <c r="D66" s="119"/>
      <c r="E66" s="119"/>
      <c r="F66" s="119"/>
      <c r="G66" s="119"/>
      <c r="H66" s="119"/>
      <c r="I66" s="119"/>
      <c r="J66" s="119"/>
      <c r="K66" s="119"/>
      <c r="L66" s="119"/>
      <c r="M66" s="119"/>
      <c r="N66" s="119"/>
      <c r="O66" s="119"/>
      <c r="P66" s="119"/>
      <c r="Q66" s="119"/>
      <c r="R66" s="119"/>
      <c r="S66" s="127"/>
    </row>
    <row r="67" spans="1:19" ht="13.5" customHeight="1">
      <c r="A67" s="117" t="s">
        <v>50</v>
      </c>
      <c r="B67" s="120"/>
      <c r="C67" s="120"/>
      <c r="D67" s="120"/>
      <c r="E67" s="120">
        <f>1523+924</f>
        <v>2447</v>
      </c>
      <c r="F67" s="120">
        <f>1894+870</f>
        <v>2764</v>
      </c>
      <c r="G67" s="120">
        <f>1096+2133</f>
        <v>3229</v>
      </c>
      <c r="H67" s="120">
        <f>1321+2120</f>
        <v>3441</v>
      </c>
      <c r="I67" s="120">
        <f>1367+2267</f>
        <v>3634</v>
      </c>
      <c r="J67" s="120">
        <f>2308+1359</f>
        <v>3667</v>
      </c>
      <c r="K67" s="120">
        <f>2318+1241</f>
        <v>3559</v>
      </c>
      <c r="L67" s="125">
        <f>3661+1409</f>
        <v>5070</v>
      </c>
      <c r="M67" s="125">
        <f>4550+1767</f>
        <v>6317</v>
      </c>
      <c r="N67" s="125">
        <f>3941+1565</f>
        <v>5506</v>
      </c>
      <c r="O67" s="125">
        <f>4096+1665</f>
        <v>5761</v>
      </c>
      <c r="P67" s="125">
        <f>1921+4601</f>
        <v>6522</v>
      </c>
      <c r="Q67" s="125">
        <f>4859+1995</f>
        <v>6854</v>
      </c>
      <c r="R67" s="125">
        <f>5544+1814</f>
        <v>7358</v>
      </c>
      <c r="S67" s="128">
        <f>1753+5463</f>
        <v>7216</v>
      </c>
    </row>
    <row r="68" spans="1:19" ht="12.75">
      <c r="A68" s="117" t="s">
        <v>41</v>
      </c>
      <c r="B68" s="121">
        <v>2987</v>
      </c>
      <c r="C68" s="121">
        <f>3836</f>
        <v>3836</v>
      </c>
      <c r="D68" s="121">
        <v>3972</v>
      </c>
      <c r="E68" s="119">
        <v>2103</v>
      </c>
      <c r="F68" s="119">
        <v>2218</v>
      </c>
      <c r="G68" s="119">
        <f>2388</f>
        <v>2388</v>
      </c>
      <c r="H68" s="119">
        <f>2301</f>
        <v>2301</v>
      </c>
      <c r="I68" s="119">
        <f>2292</f>
        <v>2292</v>
      </c>
      <c r="J68" s="119">
        <f>2307</f>
        <v>2307</v>
      </c>
      <c r="K68" s="119">
        <f>2466</f>
        <v>2466</v>
      </c>
      <c r="L68" s="119">
        <f>2635</f>
        <v>2635</v>
      </c>
      <c r="M68" s="119">
        <f>2958</f>
        <v>2958</v>
      </c>
      <c r="N68" s="119">
        <f>3120</f>
        <v>3120</v>
      </c>
      <c r="O68" s="119">
        <f>3524</f>
        <v>3524</v>
      </c>
      <c r="P68" s="119">
        <f>3414</f>
        <v>3414</v>
      </c>
      <c r="Q68" s="119">
        <f>3584</f>
        <v>3584</v>
      </c>
      <c r="R68" s="121">
        <v>5029</v>
      </c>
      <c r="S68" s="127">
        <v>5536</v>
      </c>
    </row>
    <row r="69" spans="1:19" ht="51">
      <c r="A69" s="61" t="s">
        <v>4</v>
      </c>
      <c r="B69" s="9">
        <f aca="true" t="shared" si="14" ref="B69:G69">B71</f>
        <v>1079</v>
      </c>
      <c r="C69" s="9">
        <f t="shared" si="14"/>
        <v>956</v>
      </c>
      <c r="D69" s="9">
        <f t="shared" si="14"/>
        <v>520</v>
      </c>
      <c r="E69" s="9">
        <f t="shared" si="14"/>
        <v>0</v>
      </c>
      <c r="F69" s="9">
        <f t="shared" si="14"/>
        <v>0</v>
      </c>
      <c r="G69" s="9">
        <f t="shared" si="14"/>
        <v>0</v>
      </c>
      <c r="H69" s="9">
        <f>8852-SUM(H62:H68)</f>
        <v>35</v>
      </c>
      <c r="I69" s="9">
        <f>9281-SUM(I62:I68)</f>
        <v>0</v>
      </c>
      <c r="J69" s="9">
        <f>9278-SUM(J62:J68)</f>
        <v>0</v>
      </c>
      <c r="K69" s="9">
        <f>9377-SUM(K62:K68)</f>
        <v>61</v>
      </c>
      <c r="L69" s="9">
        <f>9643-SUM(L62:L68)</f>
        <v>0</v>
      </c>
      <c r="M69" s="9">
        <f>11945-SUM(M62:M68)</f>
        <v>449</v>
      </c>
      <c r="N69" s="9">
        <f>11955-SUM(N62:N68)</f>
        <v>857</v>
      </c>
      <c r="O69" s="9">
        <f>12714-SUM(O62:O68)</f>
        <v>1</v>
      </c>
      <c r="P69" s="9">
        <f>13823-SUM(P62:P68)</f>
        <v>0</v>
      </c>
      <c r="Q69" s="9">
        <f>14666-SUM(Q62:Q68)</f>
        <v>64</v>
      </c>
      <c r="R69" s="9">
        <f>18338-SUM(R62:R68)</f>
        <v>0</v>
      </c>
      <c r="S69" s="8">
        <f>18479-SUM(S62:S68)</f>
        <v>0</v>
      </c>
    </row>
    <row r="70" spans="1:19" ht="25.5">
      <c r="A70" s="61" t="s">
        <v>3</v>
      </c>
      <c r="B70" s="9">
        <v>0</v>
      </c>
      <c r="C70" s="9">
        <v>0</v>
      </c>
      <c r="D70" s="9">
        <v>0</v>
      </c>
      <c r="E70" s="9">
        <v>0</v>
      </c>
      <c r="F70" s="9">
        <v>0</v>
      </c>
      <c r="G70" s="9">
        <v>0</v>
      </c>
      <c r="H70" s="9">
        <f>H72-8852</f>
        <v>60243</v>
      </c>
      <c r="I70" s="9">
        <f>I72-9281</f>
        <v>52576</v>
      </c>
      <c r="J70" s="9">
        <f>J72-9278</f>
        <v>45635</v>
      </c>
      <c r="K70" s="9">
        <f>K72-9377</f>
        <v>56651</v>
      </c>
      <c r="L70" s="9">
        <f>L72-9643</f>
        <v>32456</v>
      </c>
      <c r="M70" s="9">
        <f>M72-11945</f>
        <v>13677</v>
      </c>
      <c r="N70" s="9">
        <f>N72-11955</f>
        <v>9061</v>
      </c>
      <c r="O70" s="9">
        <f>O72-12714</f>
        <v>6726</v>
      </c>
      <c r="P70" s="9">
        <f>P72-13823</f>
        <v>7792</v>
      </c>
      <c r="Q70" s="9">
        <f>Q72-14666</f>
        <v>6697</v>
      </c>
      <c r="R70" s="9">
        <f>R72-18338</f>
        <v>6067</v>
      </c>
      <c r="S70" s="8">
        <f>S72-18479</f>
        <v>5230</v>
      </c>
    </row>
    <row r="71" spans="1:19" ht="63.75">
      <c r="A71" s="47" t="s">
        <v>2</v>
      </c>
      <c r="B71" s="74">
        <f aca="true" t="shared" si="15" ref="B71:S71">B72-SUM(B62:B68)</f>
        <v>1079</v>
      </c>
      <c r="C71" s="74">
        <f t="shared" si="15"/>
        <v>956</v>
      </c>
      <c r="D71" s="74">
        <f>D72-SUM(D62:D68)</f>
        <v>520</v>
      </c>
      <c r="E71" s="74">
        <f>E72-SUM(E62:E68)</f>
        <v>0</v>
      </c>
      <c r="F71" s="74">
        <f t="shared" si="15"/>
        <v>0</v>
      </c>
      <c r="G71" s="74">
        <f t="shared" si="15"/>
        <v>0</v>
      </c>
      <c r="H71" s="74">
        <f t="shared" si="15"/>
        <v>60278</v>
      </c>
      <c r="I71" s="74">
        <f t="shared" si="15"/>
        <v>52576</v>
      </c>
      <c r="J71" s="74">
        <f t="shared" si="15"/>
        <v>45635</v>
      </c>
      <c r="K71" s="74">
        <f t="shared" si="15"/>
        <v>56712</v>
      </c>
      <c r="L71" s="74">
        <f t="shared" si="15"/>
        <v>32456</v>
      </c>
      <c r="M71" s="74">
        <f t="shared" si="15"/>
        <v>14126</v>
      </c>
      <c r="N71" s="74">
        <f t="shared" si="15"/>
        <v>9918</v>
      </c>
      <c r="O71" s="74">
        <f t="shared" si="15"/>
        <v>6727</v>
      </c>
      <c r="P71" s="74">
        <f t="shared" si="15"/>
        <v>7792</v>
      </c>
      <c r="Q71" s="74">
        <f t="shared" si="15"/>
        <v>6761</v>
      </c>
      <c r="R71" s="74">
        <f t="shared" si="15"/>
        <v>6067</v>
      </c>
      <c r="S71" s="75">
        <f t="shared" si="15"/>
        <v>5230</v>
      </c>
    </row>
    <row r="72" spans="1:19" ht="12.75">
      <c r="A72" s="57" t="s">
        <v>1</v>
      </c>
      <c r="B72" s="124">
        <v>7491</v>
      </c>
      <c r="C72" s="124">
        <v>7504</v>
      </c>
      <c r="D72" s="124">
        <v>7302</v>
      </c>
      <c r="E72" s="124">
        <v>7432</v>
      </c>
      <c r="F72" s="124">
        <v>8164</v>
      </c>
      <c r="G72" s="124">
        <v>8863</v>
      </c>
      <c r="H72" s="7">
        <v>69095</v>
      </c>
      <c r="I72" s="7">
        <v>61857</v>
      </c>
      <c r="J72" s="7">
        <v>54913</v>
      </c>
      <c r="K72" s="7">
        <v>66028</v>
      </c>
      <c r="L72" s="7">
        <v>42099</v>
      </c>
      <c r="M72" s="7">
        <v>25622</v>
      </c>
      <c r="N72" s="7">
        <v>21016</v>
      </c>
      <c r="O72" s="7">
        <v>19440</v>
      </c>
      <c r="P72" s="7">
        <f>21615</f>
        <v>21615</v>
      </c>
      <c r="Q72" s="7">
        <v>21363</v>
      </c>
      <c r="R72" s="7">
        <v>24405</v>
      </c>
      <c r="S72" s="6">
        <v>23709</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51147</v>
      </c>
      <c r="C74" s="4">
        <v>44772</v>
      </c>
      <c r="D74" s="4">
        <v>51558</v>
      </c>
      <c r="E74" s="4">
        <v>55494</v>
      </c>
      <c r="F74" s="4">
        <v>60368</v>
      </c>
      <c r="G74" s="4">
        <v>76852</v>
      </c>
      <c r="H74" s="4">
        <v>80281</v>
      </c>
      <c r="I74" s="4">
        <v>82486</v>
      </c>
      <c r="J74" s="4">
        <v>82504</v>
      </c>
      <c r="K74" s="4">
        <v>88260</v>
      </c>
      <c r="L74" s="4">
        <v>87164</v>
      </c>
      <c r="M74" s="4">
        <v>86257</v>
      </c>
      <c r="N74" s="4">
        <v>96715</v>
      </c>
      <c r="O74" s="4">
        <v>143936</v>
      </c>
      <c r="P74" s="4">
        <v>198216</v>
      </c>
      <c r="Q74" s="4">
        <v>226401</v>
      </c>
      <c r="R74" s="4">
        <v>267348</v>
      </c>
      <c r="S74" s="3">
        <v>273447</v>
      </c>
    </row>
    <row r="75" ht="12.75">
      <c r="Q75" s="126"/>
    </row>
    <row r="76" ht="12.75"/>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T74"/>
  <sheetViews>
    <sheetView zoomScale="80" zoomScaleNormal="80" zoomScalePageLayoutView="0" workbookViewId="0" topLeftCell="A1">
      <pane xSplit="1" ySplit="2" topLeftCell="B46" activePane="bottomRight" state="frozen"/>
      <selection pane="topLeft" activeCell="H29" sqref="H29"/>
      <selection pane="topRight" activeCell="H29" sqref="H29"/>
      <selection pane="bottomLeft" activeCell="H29" sqref="H29"/>
      <selection pane="bottomRight" activeCell="T13" sqref="T13"/>
    </sheetView>
  </sheetViews>
  <sheetFormatPr defaultColWidth="9.140625" defaultRowHeight="15" outlineLevelRow="1"/>
  <cols>
    <col min="1" max="1" width="32.421875" style="2" customWidth="1"/>
    <col min="2" max="16384" width="9.140625" style="1" customWidth="1"/>
  </cols>
  <sheetData>
    <row r="1" spans="1:19" ht="12.75">
      <c r="A1" s="21"/>
      <c r="B1" s="482" t="s">
        <v>63</v>
      </c>
      <c r="C1" s="483"/>
      <c r="D1" s="483"/>
      <c r="E1" s="483"/>
      <c r="F1" s="483"/>
      <c r="G1" s="483"/>
      <c r="H1" s="483"/>
      <c r="I1" s="483"/>
      <c r="J1" s="483"/>
      <c r="K1" s="483"/>
      <c r="L1" s="483"/>
      <c r="M1" s="483"/>
      <c r="N1" s="483"/>
      <c r="O1" s="483"/>
      <c r="P1" s="483"/>
      <c r="Q1" s="483"/>
      <c r="R1" s="483"/>
      <c r="S1" s="484"/>
    </row>
    <row r="2" spans="1:19" ht="12.75">
      <c r="A2" s="43"/>
      <c r="B2" s="88">
        <v>1991</v>
      </c>
      <c r="C2" s="88">
        <v>1992</v>
      </c>
      <c r="D2" s="88">
        <v>1993</v>
      </c>
      <c r="E2" s="88">
        <v>1994</v>
      </c>
      <c r="F2" s="88">
        <v>1995</v>
      </c>
      <c r="G2" s="88">
        <v>1996</v>
      </c>
      <c r="H2" s="44">
        <v>1997</v>
      </c>
      <c r="I2" s="44">
        <v>1998</v>
      </c>
      <c r="J2" s="88">
        <v>1999</v>
      </c>
      <c r="K2" s="84">
        <v>2000</v>
      </c>
      <c r="L2" s="84">
        <v>2001</v>
      </c>
      <c r="M2" s="84">
        <v>2002</v>
      </c>
      <c r="N2" s="84">
        <v>2003</v>
      </c>
      <c r="O2" s="44">
        <v>2004</v>
      </c>
      <c r="P2" s="44">
        <v>2005</v>
      </c>
      <c r="Q2" s="44">
        <v>2006</v>
      </c>
      <c r="R2" s="44">
        <v>2007</v>
      </c>
      <c r="S2" s="43">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f aca="true" t="shared" si="0" ref="B5:J5">B15-B13</f>
        <v>7459</v>
      </c>
      <c r="C5" s="2">
        <f t="shared" si="0"/>
        <v>6948</v>
      </c>
      <c r="D5" s="2">
        <f t="shared" si="0"/>
        <v>6448</v>
      </c>
      <c r="E5" s="2">
        <f t="shared" si="0"/>
        <v>6420</v>
      </c>
      <c r="F5" s="2">
        <f t="shared" si="0"/>
        <v>6384</v>
      </c>
      <c r="G5" s="2">
        <f t="shared" si="0"/>
        <v>6389</v>
      </c>
      <c r="H5" s="2">
        <f t="shared" si="0"/>
        <v>5522</v>
      </c>
      <c r="I5" s="2">
        <f t="shared" si="0"/>
        <v>4962</v>
      </c>
      <c r="J5" s="2">
        <f t="shared" si="0"/>
        <v>4394</v>
      </c>
      <c r="K5" s="2">
        <f>K15-K13</f>
        <v>3772</v>
      </c>
      <c r="L5" s="2">
        <f aca="true" t="shared" si="1" ref="L5:Q5">L15-L13</f>
        <v>4032</v>
      </c>
      <c r="M5" s="2">
        <f t="shared" si="1"/>
        <v>3704</v>
      </c>
      <c r="N5" s="2">
        <f t="shared" si="1"/>
        <v>3928</v>
      </c>
      <c r="O5" s="2">
        <f t="shared" si="1"/>
        <v>3987</v>
      </c>
      <c r="P5" s="2">
        <f t="shared" si="1"/>
        <v>4057</v>
      </c>
      <c r="Q5" s="2">
        <f t="shared" si="1"/>
        <v>4414</v>
      </c>
      <c r="R5" s="2">
        <v>4601</v>
      </c>
      <c r="S5" s="5">
        <v>4805</v>
      </c>
    </row>
    <row r="6" spans="1:19" ht="12.75">
      <c r="A6" s="47" t="s">
        <v>28</v>
      </c>
      <c r="B6" s="2"/>
      <c r="C6" s="2"/>
      <c r="D6" s="2"/>
      <c r="E6" s="2"/>
      <c r="F6" s="2"/>
      <c r="G6" s="2"/>
      <c r="H6" s="2"/>
      <c r="I6" s="2"/>
      <c r="J6" s="2"/>
      <c r="K6" s="2"/>
      <c r="L6" s="2"/>
      <c r="M6" s="2"/>
      <c r="N6" s="2"/>
      <c r="O6" s="2"/>
      <c r="P6" s="2"/>
      <c r="Q6" s="2"/>
      <c r="R6" s="2"/>
      <c r="S6" s="5"/>
    </row>
    <row r="7" spans="1:19" ht="12.75">
      <c r="A7" s="47" t="s">
        <v>27</v>
      </c>
      <c r="B7" s="2">
        <f>B18</f>
        <v>0</v>
      </c>
      <c r="C7" s="2">
        <f aca="true" t="shared" si="2" ref="C7:S7">C18</f>
        <v>0</v>
      </c>
      <c r="D7" s="2">
        <f t="shared" si="2"/>
        <v>0</v>
      </c>
      <c r="E7" s="2">
        <f t="shared" si="2"/>
        <v>0</v>
      </c>
      <c r="F7" s="2">
        <f t="shared" si="2"/>
        <v>0</v>
      </c>
      <c r="G7" s="2">
        <f t="shared" si="2"/>
        <v>0</v>
      </c>
      <c r="H7" s="2">
        <f>H18</f>
        <v>0</v>
      </c>
      <c r="I7" s="2">
        <f t="shared" si="2"/>
        <v>0</v>
      </c>
      <c r="J7" s="2">
        <f t="shared" si="2"/>
        <v>0</v>
      </c>
      <c r="K7" s="2">
        <f t="shared" si="2"/>
        <v>0</v>
      </c>
      <c r="L7" s="2">
        <f t="shared" si="2"/>
        <v>0</v>
      </c>
      <c r="M7" s="2">
        <f t="shared" si="2"/>
        <v>0</v>
      </c>
      <c r="N7" s="2">
        <f t="shared" si="2"/>
        <v>0</v>
      </c>
      <c r="O7" s="2">
        <f t="shared" si="2"/>
        <v>0</v>
      </c>
      <c r="P7" s="89">
        <f t="shared" si="2"/>
        <v>0</v>
      </c>
      <c r="Q7" s="89">
        <f t="shared" si="2"/>
        <v>0</v>
      </c>
      <c r="R7" s="89">
        <f t="shared" si="2"/>
        <v>0</v>
      </c>
      <c r="S7" s="85">
        <f t="shared" si="2"/>
        <v>0</v>
      </c>
    </row>
    <row r="8" spans="1:19" ht="12.75">
      <c r="A8" s="47" t="s">
        <v>26</v>
      </c>
      <c r="B8" s="2">
        <f>B24</f>
        <v>0</v>
      </c>
      <c r="C8" s="2">
        <f aca="true" t="shared" si="3" ref="C8:S8">C24</f>
        <v>0</v>
      </c>
      <c r="D8" s="2">
        <f t="shared" si="3"/>
        <v>0</v>
      </c>
      <c r="E8" s="2">
        <f t="shared" si="3"/>
        <v>0</v>
      </c>
      <c r="F8" s="2">
        <f t="shared" si="3"/>
        <v>0</v>
      </c>
      <c r="G8" s="2">
        <f t="shared" si="3"/>
        <v>0</v>
      </c>
      <c r="H8" s="2">
        <f>H24</f>
        <v>0</v>
      </c>
      <c r="I8" s="2">
        <f t="shared" si="3"/>
        <v>0</v>
      </c>
      <c r="J8" s="2">
        <f t="shared" si="3"/>
        <v>0</v>
      </c>
      <c r="K8" s="2">
        <f t="shared" si="3"/>
        <v>0</v>
      </c>
      <c r="L8" s="2">
        <f t="shared" si="3"/>
        <v>0</v>
      </c>
      <c r="M8" s="2">
        <f t="shared" si="3"/>
        <v>0</v>
      </c>
      <c r="N8" s="2">
        <f t="shared" si="3"/>
        <v>0</v>
      </c>
      <c r="O8" s="2">
        <f t="shared" si="3"/>
        <v>0</v>
      </c>
      <c r="P8" s="89">
        <f t="shared" si="3"/>
        <v>0</v>
      </c>
      <c r="Q8" s="89">
        <f t="shared" si="3"/>
        <v>0</v>
      </c>
      <c r="R8" s="89">
        <f t="shared" si="3"/>
        <v>0</v>
      </c>
      <c r="S8" s="85">
        <f t="shared" si="3"/>
        <v>0</v>
      </c>
    </row>
    <row r="9" spans="1:19" ht="12.75">
      <c r="A9" s="59" t="s">
        <v>35</v>
      </c>
      <c r="B9" s="78">
        <f>B36</f>
        <v>1001</v>
      </c>
      <c r="C9" s="78">
        <f aca="true" t="shared" si="4" ref="C9:S9">C36</f>
        <v>921</v>
      </c>
      <c r="D9" s="78">
        <f t="shared" si="4"/>
        <v>940</v>
      </c>
      <c r="E9" s="78">
        <f t="shared" si="4"/>
        <v>951</v>
      </c>
      <c r="F9" s="13">
        <f t="shared" si="4"/>
        <v>954</v>
      </c>
      <c r="G9" s="13">
        <f t="shared" si="4"/>
        <v>1359</v>
      </c>
      <c r="H9" s="13">
        <f>H36</f>
        <v>1269</v>
      </c>
      <c r="I9" s="13">
        <f t="shared" si="4"/>
        <v>1274</v>
      </c>
      <c r="J9" s="13">
        <f t="shared" si="4"/>
        <v>1352</v>
      </c>
      <c r="K9" s="13">
        <f t="shared" si="4"/>
        <v>1359</v>
      </c>
      <c r="L9" s="13">
        <f t="shared" si="4"/>
        <v>1416</v>
      </c>
      <c r="M9" s="13">
        <f t="shared" si="4"/>
        <v>1674</v>
      </c>
      <c r="N9" s="13">
        <f t="shared" si="4"/>
        <v>1740</v>
      </c>
      <c r="O9" s="13">
        <f t="shared" si="4"/>
        <v>1911</v>
      </c>
      <c r="P9" s="63">
        <f t="shared" si="4"/>
        <v>381</v>
      </c>
      <c r="Q9" s="63">
        <f t="shared" si="4"/>
        <v>1382</v>
      </c>
      <c r="R9" s="63">
        <f t="shared" si="4"/>
        <v>1632</v>
      </c>
      <c r="S9" s="103">
        <f t="shared" si="4"/>
        <v>1867</v>
      </c>
    </row>
    <row r="10" spans="1:19" ht="12.75">
      <c r="A10" s="59" t="s">
        <v>43</v>
      </c>
      <c r="B10" s="78">
        <f>B48</f>
        <v>3955</v>
      </c>
      <c r="C10" s="78">
        <f aca="true" t="shared" si="5" ref="C10:S10">C48</f>
        <v>2887</v>
      </c>
      <c r="D10" s="78">
        <f t="shared" si="5"/>
        <v>2944</v>
      </c>
      <c r="E10" s="78">
        <f t="shared" si="5"/>
        <v>2787</v>
      </c>
      <c r="F10" s="13">
        <f t="shared" si="5"/>
        <v>1643</v>
      </c>
      <c r="G10" s="13">
        <f t="shared" si="5"/>
        <v>835</v>
      </c>
      <c r="H10" s="13">
        <f>H48</f>
        <v>511</v>
      </c>
      <c r="I10" s="13">
        <f t="shared" si="5"/>
        <v>536</v>
      </c>
      <c r="J10" s="13">
        <f t="shared" si="5"/>
        <v>0</v>
      </c>
      <c r="K10" s="13">
        <f t="shared" si="5"/>
        <v>0</v>
      </c>
      <c r="L10" s="13">
        <f t="shared" si="5"/>
        <v>0</v>
      </c>
      <c r="M10" s="13">
        <f t="shared" si="5"/>
        <v>0</v>
      </c>
      <c r="N10" s="13">
        <f t="shared" si="5"/>
        <v>0</v>
      </c>
      <c r="O10" s="13">
        <f t="shared" si="5"/>
        <v>0</v>
      </c>
      <c r="P10" s="63">
        <f t="shared" si="5"/>
        <v>9</v>
      </c>
      <c r="Q10" s="63">
        <f t="shared" si="5"/>
        <v>8</v>
      </c>
      <c r="R10" s="63">
        <f t="shared" si="5"/>
        <v>0</v>
      </c>
      <c r="S10" s="103">
        <f t="shared" si="5"/>
        <v>0</v>
      </c>
    </row>
    <row r="11" spans="1:19" ht="12.75">
      <c r="A11" s="59" t="s">
        <v>44</v>
      </c>
      <c r="B11" s="78">
        <f>B42</f>
        <v>0</v>
      </c>
      <c r="C11" s="78">
        <f aca="true" t="shared" si="6" ref="C11:S11">C42</f>
        <v>0</v>
      </c>
      <c r="D11" s="78">
        <f t="shared" si="6"/>
        <v>0</v>
      </c>
      <c r="E11" s="78">
        <f t="shared" si="6"/>
        <v>0</v>
      </c>
      <c r="F11" s="13">
        <f t="shared" si="6"/>
        <v>0</v>
      </c>
      <c r="G11" s="13">
        <f t="shared" si="6"/>
        <v>0</v>
      </c>
      <c r="H11" s="13">
        <f>H42</f>
        <v>0</v>
      </c>
      <c r="I11" s="13">
        <f t="shared" si="6"/>
        <v>0</v>
      </c>
      <c r="J11" s="13">
        <f t="shared" si="6"/>
        <v>0</v>
      </c>
      <c r="K11" s="13">
        <f t="shared" si="6"/>
        <v>0</v>
      </c>
      <c r="L11" s="13">
        <f t="shared" si="6"/>
        <v>0</v>
      </c>
      <c r="M11" s="13">
        <f t="shared" si="6"/>
        <v>0</v>
      </c>
      <c r="N11" s="13">
        <f t="shared" si="6"/>
        <v>0</v>
      </c>
      <c r="O11" s="13">
        <f t="shared" si="6"/>
        <v>0</v>
      </c>
      <c r="P11" s="63">
        <f t="shared" si="6"/>
        <v>0</v>
      </c>
      <c r="Q11" s="63">
        <f t="shared" si="6"/>
        <v>0</v>
      </c>
      <c r="R11" s="63">
        <f t="shared" si="6"/>
        <v>0</v>
      </c>
      <c r="S11" s="103">
        <f t="shared" si="6"/>
        <v>0</v>
      </c>
    </row>
    <row r="12" spans="1:19" ht="12.75">
      <c r="A12" s="47" t="s">
        <v>25</v>
      </c>
      <c r="B12" s="2">
        <f>B30</f>
        <v>0</v>
      </c>
      <c r="C12" s="2">
        <f aca="true" t="shared" si="7" ref="C12:S12">C30</f>
        <v>0</v>
      </c>
      <c r="D12" s="2">
        <f t="shared" si="7"/>
        <v>0</v>
      </c>
      <c r="E12" s="2">
        <f t="shared" si="7"/>
        <v>0</v>
      </c>
      <c r="F12" s="2">
        <f t="shared" si="7"/>
        <v>0</v>
      </c>
      <c r="G12" s="2">
        <f t="shared" si="7"/>
        <v>0</v>
      </c>
      <c r="H12" s="2">
        <f>H30</f>
        <v>0</v>
      </c>
      <c r="I12" s="2">
        <f t="shared" si="7"/>
        <v>0</v>
      </c>
      <c r="J12" s="2">
        <f t="shared" si="7"/>
        <v>0</v>
      </c>
      <c r="K12" s="2">
        <f t="shared" si="7"/>
        <v>0</v>
      </c>
      <c r="L12" s="2">
        <f t="shared" si="7"/>
        <v>0</v>
      </c>
      <c r="M12" s="2">
        <f t="shared" si="7"/>
        <v>0</v>
      </c>
      <c r="N12" s="2">
        <f t="shared" si="7"/>
        <v>0</v>
      </c>
      <c r="O12" s="2">
        <f t="shared" si="7"/>
        <v>0</v>
      </c>
      <c r="P12" s="89">
        <f t="shared" si="7"/>
        <v>0</v>
      </c>
      <c r="Q12" s="89">
        <f t="shared" si="7"/>
        <v>0</v>
      </c>
      <c r="R12" s="89">
        <f t="shared" si="7"/>
        <v>0</v>
      </c>
      <c r="S12" s="85">
        <f t="shared" si="7"/>
        <v>0</v>
      </c>
    </row>
    <row r="13" spans="1:19" ht="12.75">
      <c r="A13" s="46" t="s">
        <v>24</v>
      </c>
      <c r="B13" s="42">
        <f>SUM(B7:B12)</f>
        <v>4956</v>
      </c>
      <c r="C13" s="42">
        <f>SUM(C7:C12)</f>
        <v>3808</v>
      </c>
      <c r="D13" s="42">
        <f>SUM(D7:D12)</f>
        <v>3884</v>
      </c>
      <c r="E13" s="42">
        <f aca="true" t="shared" si="8" ref="E13:J13">SUM(E7:E12)</f>
        <v>3738</v>
      </c>
      <c r="F13" s="42">
        <f t="shared" si="8"/>
        <v>2597</v>
      </c>
      <c r="G13" s="42">
        <f t="shared" si="8"/>
        <v>2194</v>
      </c>
      <c r="H13" s="42">
        <f t="shared" si="8"/>
        <v>1780</v>
      </c>
      <c r="I13" s="42">
        <f t="shared" si="8"/>
        <v>1810</v>
      </c>
      <c r="J13" s="42">
        <f t="shared" si="8"/>
        <v>1352</v>
      </c>
      <c r="K13" s="42">
        <f>SUM(K6:K12)+668</f>
        <v>2027</v>
      </c>
      <c r="L13" s="42">
        <f>SUM(L6:L12)+670</f>
        <v>2086</v>
      </c>
      <c r="M13" s="42">
        <f>SUM(M7:M12)+686</f>
        <v>2360</v>
      </c>
      <c r="N13" s="42">
        <f>SUM(N7:N12)+746</f>
        <v>2486</v>
      </c>
      <c r="O13" s="42">
        <f>SUM(O6:O12)+761</f>
        <v>2672</v>
      </c>
      <c r="P13" s="42">
        <f>SUM(P9:P10)+1345+1101</f>
        <v>2836</v>
      </c>
      <c r="Q13" s="42">
        <f>1728+949+SUM(Q6:Q12)</f>
        <v>4067</v>
      </c>
      <c r="R13" s="42">
        <v>4580</v>
      </c>
      <c r="S13" s="28">
        <v>6004</v>
      </c>
    </row>
    <row r="14" spans="1:19" ht="12.75">
      <c r="A14" s="47" t="s">
        <v>23</v>
      </c>
      <c r="B14" s="2"/>
      <c r="C14" s="2"/>
      <c r="D14" s="2"/>
      <c r="E14" s="2"/>
      <c r="F14" s="2"/>
      <c r="G14" s="2"/>
      <c r="H14" s="2"/>
      <c r="I14" s="2"/>
      <c r="J14" s="2"/>
      <c r="K14" s="2"/>
      <c r="L14" s="2"/>
      <c r="M14" s="2"/>
      <c r="N14" s="2"/>
      <c r="O14" s="2"/>
      <c r="P14" s="2"/>
      <c r="Q14" s="2"/>
      <c r="R14" s="2"/>
      <c r="S14" s="5"/>
    </row>
    <row r="15" spans="1:19" ht="12.75">
      <c r="A15" s="48" t="s">
        <v>22</v>
      </c>
      <c r="B15" s="17">
        <v>12415</v>
      </c>
      <c r="C15" s="17">
        <v>10756</v>
      </c>
      <c r="D15" s="17">
        <v>10332</v>
      </c>
      <c r="E15" s="17">
        <v>10158</v>
      </c>
      <c r="F15" s="17">
        <v>8981</v>
      </c>
      <c r="G15" s="17">
        <v>8583</v>
      </c>
      <c r="H15" s="114">
        <v>7302</v>
      </c>
      <c r="I15" s="114">
        <v>6772</v>
      </c>
      <c r="J15" s="99">
        <v>5746</v>
      </c>
      <c r="K15" s="17">
        <v>5799</v>
      </c>
      <c r="L15" s="17">
        <v>6118</v>
      </c>
      <c r="M15" s="17">
        <v>6064</v>
      </c>
      <c r="N15" s="17">
        <v>6414</v>
      </c>
      <c r="O15" s="17">
        <v>6659</v>
      </c>
      <c r="P15" s="17">
        <v>6893</v>
      </c>
      <c r="Q15" s="17">
        <v>8481</v>
      </c>
      <c r="R15" s="17">
        <v>9181</v>
      </c>
      <c r="S15" s="16">
        <v>10809</v>
      </c>
    </row>
    <row r="16" spans="1:19" ht="12.75">
      <c r="A16" s="5"/>
      <c r="B16" s="42"/>
      <c r="C16" s="42"/>
      <c r="D16" s="42"/>
      <c r="E16" s="42"/>
      <c r="F16" s="42"/>
      <c r="G16" s="42"/>
      <c r="H16" s="42"/>
      <c r="I16" s="42"/>
      <c r="J16" s="42"/>
      <c r="K16" s="42"/>
      <c r="L16" s="42"/>
      <c r="M16" s="42"/>
      <c r="N16" s="42"/>
      <c r="O16" s="42"/>
      <c r="P16" s="42"/>
      <c r="Q16" s="42"/>
      <c r="R16" s="42"/>
      <c r="S16" s="28"/>
    </row>
    <row r="17" spans="1:19" ht="12.75" hidden="1" outlineLevel="1">
      <c r="A17" s="41" t="s">
        <v>21</v>
      </c>
      <c r="B17" s="40"/>
      <c r="C17" s="40"/>
      <c r="D17" s="40"/>
      <c r="E17" s="40"/>
      <c r="F17" s="40"/>
      <c r="G17" s="40"/>
      <c r="H17" s="40"/>
      <c r="I17" s="40"/>
      <c r="J17" s="40"/>
      <c r="K17" s="40"/>
      <c r="L17" s="40"/>
      <c r="M17" s="40"/>
      <c r="N17" s="40"/>
      <c r="O17" s="40"/>
      <c r="P17" s="40"/>
      <c r="Q17" s="40"/>
      <c r="R17" s="40"/>
      <c r="S17" s="39"/>
    </row>
    <row r="18" spans="1:19" ht="12.75" hidden="1" outlineLevel="1">
      <c r="A18" s="47" t="s">
        <v>12</v>
      </c>
      <c r="B18" s="30"/>
      <c r="C18" s="30"/>
      <c r="D18" s="30"/>
      <c r="E18" s="30"/>
      <c r="F18" s="30"/>
      <c r="G18" s="30"/>
      <c r="H18" s="30"/>
      <c r="I18" s="30"/>
      <c r="J18" s="30"/>
      <c r="K18" s="30"/>
      <c r="L18" s="30"/>
      <c r="M18" s="30"/>
      <c r="N18" s="30"/>
      <c r="O18" s="30"/>
      <c r="P18" s="30"/>
      <c r="Q18" s="30"/>
      <c r="R18" s="30"/>
      <c r="S18" s="5"/>
    </row>
    <row r="19" spans="1:19" ht="25.5" hidden="1" outlineLevel="1">
      <c r="A19" s="47" t="s">
        <v>16</v>
      </c>
      <c r="B19" s="30"/>
      <c r="C19" s="30"/>
      <c r="D19" s="30"/>
      <c r="E19" s="30"/>
      <c r="F19" s="30"/>
      <c r="G19" s="30"/>
      <c r="H19" s="30"/>
      <c r="I19" s="30"/>
      <c r="J19" s="30"/>
      <c r="K19" s="30"/>
      <c r="L19" s="30"/>
      <c r="M19" s="30"/>
      <c r="N19" s="30"/>
      <c r="O19" s="30"/>
      <c r="P19" s="30"/>
      <c r="Q19" s="30"/>
      <c r="R19" s="30"/>
      <c r="S19" s="5"/>
    </row>
    <row r="20" spans="1:19" ht="12.75" hidden="1" outlineLevel="1">
      <c r="A20" s="46" t="s">
        <v>20</v>
      </c>
      <c r="B20" s="29">
        <f>SUM(B18:B19)</f>
        <v>0</v>
      </c>
      <c r="C20" s="29">
        <f aca="true" t="shared" si="9" ref="C20:S20">SUM(C18:C19)</f>
        <v>0</v>
      </c>
      <c r="D20" s="29">
        <f t="shared" si="9"/>
        <v>0</v>
      </c>
      <c r="E20" s="29">
        <f t="shared" si="9"/>
        <v>0</v>
      </c>
      <c r="F20" s="29">
        <f t="shared" si="9"/>
        <v>0</v>
      </c>
      <c r="G20" s="29">
        <f t="shared" si="9"/>
        <v>0</v>
      </c>
      <c r="H20" s="29">
        <f>SUM(H18:H19)</f>
        <v>0</v>
      </c>
      <c r="I20" s="29">
        <f t="shared" si="9"/>
        <v>0</v>
      </c>
      <c r="J20" s="29">
        <f t="shared" si="9"/>
        <v>0</v>
      </c>
      <c r="K20" s="29">
        <f t="shared" si="9"/>
        <v>0</v>
      </c>
      <c r="L20" s="29">
        <f t="shared" si="9"/>
        <v>0</v>
      </c>
      <c r="M20" s="29">
        <f t="shared" si="9"/>
        <v>0</v>
      </c>
      <c r="N20" s="29">
        <f t="shared" si="9"/>
        <v>0</v>
      </c>
      <c r="O20" s="29">
        <f t="shared" si="9"/>
        <v>0</v>
      </c>
      <c r="P20" s="29">
        <f t="shared" si="9"/>
        <v>0</v>
      </c>
      <c r="Q20" s="29">
        <f t="shared" si="9"/>
        <v>0</v>
      </c>
      <c r="R20" s="29">
        <f t="shared" si="9"/>
        <v>0</v>
      </c>
      <c r="S20" s="28">
        <f t="shared" si="9"/>
        <v>0</v>
      </c>
    </row>
    <row r="21" spans="1:19" ht="12.75" hidden="1" outlineLevel="1">
      <c r="A21" s="49" t="s">
        <v>14</v>
      </c>
      <c r="B21" s="27"/>
      <c r="C21" s="27"/>
      <c r="D21" s="27"/>
      <c r="E21" s="27"/>
      <c r="F21" s="27"/>
      <c r="G21" s="27"/>
      <c r="H21" s="27"/>
      <c r="I21" s="27"/>
      <c r="J21" s="27"/>
      <c r="K21" s="27"/>
      <c r="L21" s="27"/>
      <c r="M21" s="27"/>
      <c r="N21" s="27"/>
      <c r="O21" s="27"/>
      <c r="P21" s="27"/>
      <c r="Q21" s="27"/>
      <c r="R21" s="27"/>
      <c r="S21" s="26"/>
    </row>
    <row r="22" spans="1:19" ht="12.75" hidden="1" outlineLevel="1">
      <c r="A22" s="5"/>
      <c r="B22" s="42"/>
      <c r="C22" s="42"/>
      <c r="D22" s="42"/>
      <c r="E22" s="42"/>
      <c r="F22" s="42"/>
      <c r="G22" s="42"/>
      <c r="H22" s="42"/>
      <c r="I22" s="42"/>
      <c r="J22" s="42"/>
      <c r="K22" s="42"/>
      <c r="L22" s="42"/>
      <c r="M22" s="42"/>
      <c r="N22" s="42"/>
      <c r="O22" s="42"/>
      <c r="P22" s="42"/>
      <c r="Q22" s="42"/>
      <c r="R22" s="42"/>
      <c r="S22" s="28"/>
    </row>
    <row r="23" spans="1:19" ht="12.75" hidden="1" outlineLevel="1">
      <c r="A23" s="38" t="s">
        <v>19</v>
      </c>
      <c r="B23" s="37"/>
      <c r="C23" s="37"/>
      <c r="D23" s="37"/>
      <c r="E23" s="37"/>
      <c r="F23" s="37"/>
      <c r="G23" s="37"/>
      <c r="H23" s="37"/>
      <c r="I23" s="37"/>
      <c r="J23" s="37"/>
      <c r="K23" s="37"/>
      <c r="L23" s="37"/>
      <c r="M23" s="37"/>
      <c r="N23" s="37"/>
      <c r="O23" s="37"/>
      <c r="P23" s="37"/>
      <c r="Q23" s="37"/>
      <c r="R23" s="37"/>
      <c r="S23" s="36"/>
    </row>
    <row r="24" spans="1:19" ht="12.75" hidden="1" outlineLevel="1">
      <c r="A24" s="47" t="s">
        <v>12</v>
      </c>
      <c r="B24" s="30"/>
      <c r="C24" s="30"/>
      <c r="D24" s="30"/>
      <c r="E24" s="30"/>
      <c r="F24" s="30"/>
      <c r="G24" s="30"/>
      <c r="H24" s="30"/>
      <c r="I24" s="30"/>
      <c r="J24" s="30"/>
      <c r="K24" s="30"/>
      <c r="L24" s="30"/>
      <c r="M24" s="30"/>
      <c r="N24" s="30"/>
      <c r="O24" s="30"/>
      <c r="P24" s="64"/>
      <c r="Q24" s="64"/>
      <c r="R24" s="64"/>
      <c r="S24" s="85"/>
    </row>
    <row r="25" spans="1:19" ht="25.5" hidden="1" outlineLevel="1">
      <c r="A25" s="47" t="s">
        <v>16</v>
      </c>
      <c r="B25" s="30"/>
      <c r="C25" s="30"/>
      <c r="D25" s="30"/>
      <c r="E25" s="30"/>
      <c r="F25" s="30"/>
      <c r="G25" s="30"/>
      <c r="H25" s="30"/>
      <c r="I25" s="30"/>
      <c r="J25" s="30"/>
      <c r="K25" s="30"/>
      <c r="L25" s="30"/>
      <c r="M25" s="30"/>
      <c r="N25" s="30"/>
      <c r="O25" s="30"/>
      <c r="P25" s="30"/>
      <c r="Q25" s="30"/>
      <c r="R25" s="30"/>
      <c r="S25" s="5"/>
    </row>
    <row r="26" spans="1:19" ht="12.75" hidden="1" outlineLevel="1">
      <c r="A26" s="46" t="s">
        <v>18</v>
      </c>
      <c r="B26" s="29">
        <f>SUM(B24:B25)</f>
        <v>0</v>
      </c>
      <c r="C26" s="29">
        <f aca="true" t="shared" si="10" ref="C26:S26">SUM(C24:C25)</f>
        <v>0</v>
      </c>
      <c r="D26" s="29">
        <f t="shared" si="10"/>
        <v>0</v>
      </c>
      <c r="E26" s="29">
        <f t="shared" si="10"/>
        <v>0</v>
      </c>
      <c r="F26" s="29">
        <f t="shared" si="10"/>
        <v>0</v>
      </c>
      <c r="G26" s="29">
        <f t="shared" si="10"/>
        <v>0</v>
      </c>
      <c r="H26" s="29">
        <f>SUM(H24:H25)</f>
        <v>0</v>
      </c>
      <c r="I26" s="29">
        <f t="shared" si="10"/>
        <v>0</v>
      </c>
      <c r="J26" s="29">
        <f t="shared" si="10"/>
        <v>0</v>
      </c>
      <c r="K26" s="29">
        <f t="shared" si="10"/>
        <v>0</v>
      </c>
      <c r="L26" s="29">
        <f t="shared" si="10"/>
        <v>0</v>
      </c>
      <c r="M26" s="29">
        <f t="shared" si="10"/>
        <v>0</v>
      </c>
      <c r="N26" s="29">
        <f t="shared" si="10"/>
        <v>0</v>
      </c>
      <c r="O26" s="29">
        <f t="shared" si="10"/>
        <v>0</v>
      </c>
      <c r="P26" s="29">
        <f t="shared" si="10"/>
        <v>0</v>
      </c>
      <c r="Q26" s="29">
        <f t="shared" si="10"/>
        <v>0</v>
      </c>
      <c r="R26" s="29">
        <f t="shared" si="10"/>
        <v>0</v>
      </c>
      <c r="S26" s="28">
        <f t="shared" si="10"/>
        <v>0</v>
      </c>
    </row>
    <row r="27" spans="1:19" ht="12.75" hidden="1" outlineLevel="1">
      <c r="A27" s="51" t="s">
        <v>14</v>
      </c>
      <c r="B27" s="35"/>
      <c r="C27" s="35"/>
      <c r="D27" s="35"/>
      <c r="E27" s="35"/>
      <c r="F27" s="35"/>
      <c r="G27" s="35"/>
      <c r="H27" s="35"/>
      <c r="I27" s="35"/>
      <c r="J27" s="35"/>
      <c r="K27" s="35"/>
      <c r="L27" s="35"/>
      <c r="M27" s="35"/>
      <c r="N27" s="35"/>
      <c r="O27" s="35"/>
      <c r="P27" s="35"/>
      <c r="Q27" s="35"/>
      <c r="R27" s="35"/>
      <c r="S27" s="34"/>
    </row>
    <row r="28" spans="1:19" ht="12.75" hidden="1" outlineLevel="1">
      <c r="A28" s="5"/>
      <c r="B28" s="42"/>
      <c r="C28" s="42"/>
      <c r="D28" s="42"/>
      <c r="E28" s="42"/>
      <c r="F28" s="42"/>
      <c r="G28" s="42"/>
      <c r="H28" s="42"/>
      <c r="I28" s="42"/>
      <c r="J28" s="42"/>
      <c r="K28" s="42"/>
      <c r="L28" s="42"/>
      <c r="M28" s="42"/>
      <c r="N28" s="42"/>
      <c r="O28" s="42"/>
      <c r="P28" s="42"/>
      <c r="Q28" s="42"/>
      <c r="R28" s="42"/>
      <c r="S28" s="28"/>
    </row>
    <row r="29" spans="1:19" ht="12.75" hidden="1" outlineLevel="1">
      <c r="A29" s="33" t="s">
        <v>17</v>
      </c>
      <c r="B29" s="32"/>
      <c r="C29" s="32"/>
      <c r="D29" s="32"/>
      <c r="E29" s="32"/>
      <c r="F29" s="32"/>
      <c r="G29" s="32"/>
      <c r="H29" s="32"/>
      <c r="I29" s="32"/>
      <c r="J29" s="32"/>
      <c r="K29" s="32"/>
      <c r="L29" s="32"/>
      <c r="M29" s="32"/>
      <c r="N29" s="32"/>
      <c r="O29" s="32"/>
      <c r="P29" s="32"/>
      <c r="Q29" s="32"/>
      <c r="R29" s="32"/>
      <c r="S29" s="31"/>
    </row>
    <row r="30" spans="1:19" ht="12.75" hidden="1" outlineLevel="1">
      <c r="A30" s="47" t="s">
        <v>12</v>
      </c>
      <c r="B30" s="30"/>
      <c r="C30" s="30"/>
      <c r="D30" s="30"/>
      <c r="E30" s="30"/>
      <c r="F30" s="30"/>
      <c r="G30" s="30"/>
      <c r="H30" s="30"/>
      <c r="I30" s="30"/>
      <c r="J30" s="30"/>
      <c r="K30" s="30"/>
      <c r="L30" s="30"/>
      <c r="M30" s="30"/>
      <c r="N30" s="30"/>
      <c r="O30" s="30"/>
      <c r="P30" s="30"/>
      <c r="Q30" s="30"/>
      <c r="R30" s="30"/>
      <c r="S30" s="5"/>
    </row>
    <row r="31" spans="1:19" ht="25.5" hidden="1" outlineLevel="1">
      <c r="A31" s="47" t="s">
        <v>16</v>
      </c>
      <c r="B31" s="30"/>
      <c r="C31" s="30"/>
      <c r="D31" s="30"/>
      <c r="E31" s="30"/>
      <c r="F31" s="30"/>
      <c r="G31" s="30"/>
      <c r="H31" s="30"/>
      <c r="I31" s="30"/>
      <c r="J31" s="30"/>
      <c r="K31" s="30"/>
      <c r="L31" s="30"/>
      <c r="M31" s="30"/>
      <c r="N31" s="30"/>
      <c r="O31" s="30"/>
      <c r="P31" s="30"/>
      <c r="Q31" s="30"/>
      <c r="R31" s="30"/>
      <c r="S31" s="5"/>
    </row>
    <row r="32" spans="1:19" ht="12.75" hidden="1" outlineLevel="1">
      <c r="A32" s="46" t="s">
        <v>15</v>
      </c>
      <c r="B32" s="29">
        <f>SUM(B30:B31)</f>
        <v>0</v>
      </c>
      <c r="C32" s="29">
        <f aca="true" t="shared" si="11" ref="C32:S32">SUM(C30:C31)</f>
        <v>0</v>
      </c>
      <c r="D32" s="29">
        <f t="shared" si="11"/>
        <v>0</v>
      </c>
      <c r="E32" s="29">
        <f t="shared" si="11"/>
        <v>0</v>
      </c>
      <c r="F32" s="29">
        <f t="shared" si="11"/>
        <v>0</v>
      </c>
      <c r="G32" s="29">
        <f t="shared" si="11"/>
        <v>0</v>
      </c>
      <c r="H32" s="29">
        <f>SUM(H30:H31)</f>
        <v>0</v>
      </c>
      <c r="I32" s="29">
        <f t="shared" si="11"/>
        <v>0</v>
      </c>
      <c r="J32" s="29">
        <f t="shared" si="11"/>
        <v>0</v>
      </c>
      <c r="K32" s="29">
        <f t="shared" si="11"/>
        <v>0</v>
      </c>
      <c r="L32" s="29">
        <f t="shared" si="11"/>
        <v>0</v>
      </c>
      <c r="M32" s="29">
        <f t="shared" si="11"/>
        <v>0</v>
      </c>
      <c r="N32" s="29">
        <f t="shared" si="11"/>
        <v>0</v>
      </c>
      <c r="O32" s="29">
        <f t="shared" si="11"/>
        <v>0</v>
      </c>
      <c r="P32" s="29">
        <f t="shared" si="11"/>
        <v>0</v>
      </c>
      <c r="Q32" s="29">
        <f t="shared" si="11"/>
        <v>0</v>
      </c>
      <c r="R32" s="29">
        <f t="shared" si="11"/>
        <v>0</v>
      </c>
      <c r="S32" s="28">
        <f t="shared" si="11"/>
        <v>0</v>
      </c>
    </row>
    <row r="33" spans="1:19" ht="12.75" hidden="1" outlineLevel="1">
      <c r="A33" s="49" t="s">
        <v>14</v>
      </c>
      <c r="B33" s="27"/>
      <c r="C33" s="27"/>
      <c r="D33" s="27"/>
      <c r="E33" s="27"/>
      <c r="F33" s="27"/>
      <c r="G33" s="27"/>
      <c r="H33" s="27"/>
      <c r="I33" s="27"/>
      <c r="J33" s="27"/>
      <c r="K33" s="27"/>
      <c r="L33" s="27"/>
      <c r="M33" s="27"/>
      <c r="N33" s="27"/>
      <c r="O33" s="27"/>
      <c r="P33" s="27"/>
      <c r="Q33" s="27"/>
      <c r="R33" s="27"/>
      <c r="S33" s="26"/>
    </row>
    <row r="34" spans="1:19" ht="12.75" collapsed="1">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f>686+315</f>
        <v>1001</v>
      </c>
      <c r="C36" s="30">
        <f>368+553</f>
        <v>921</v>
      </c>
      <c r="D36" s="30">
        <v>940</v>
      </c>
      <c r="E36" s="30">
        <v>951</v>
      </c>
      <c r="F36" s="30">
        <v>954</v>
      </c>
      <c r="G36" s="30">
        <f>475+884</f>
        <v>1359</v>
      </c>
      <c r="H36" s="30">
        <f>680+589</f>
        <v>1269</v>
      </c>
      <c r="I36" s="30">
        <f>681+593</f>
        <v>1274</v>
      </c>
      <c r="J36" s="30">
        <f>714+638</f>
        <v>1352</v>
      </c>
      <c r="K36" s="30">
        <f>645+714</f>
        <v>1359</v>
      </c>
      <c r="L36" s="30">
        <f>689+727</f>
        <v>1416</v>
      </c>
      <c r="M36" s="30">
        <f>901+773</f>
        <v>1674</v>
      </c>
      <c r="N36" s="30">
        <f>933+807</f>
        <v>1740</v>
      </c>
      <c r="O36" s="30">
        <v>1911</v>
      </c>
      <c r="P36" s="64">
        <v>381</v>
      </c>
      <c r="Q36" s="64">
        <v>1382</v>
      </c>
      <c r="R36" s="64">
        <v>1632</v>
      </c>
      <c r="S36" s="85">
        <v>1867</v>
      </c>
    </row>
    <row r="37" spans="1:19" ht="25.5">
      <c r="A37" s="47" t="s">
        <v>16</v>
      </c>
      <c r="B37" s="30">
        <f>1491+97+21+60+102-572</f>
        <v>1199</v>
      </c>
      <c r="C37" s="30">
        <f>1413+7+84+95+128</f>
        <v>1727</v>
      </c>
      <c r="D37" s="30">
        <f>186+193+200</f>
        <v>579</v>
      </c>
      <c r="E37" s="30">
        <f>27+714+227</f>
        <v>968</v>
      </c>
      <c r="F37" s="30">
        <f>329+425+343</f>
        <v>1097</v>
      </c>
      <c r="G37" s="30">
        <f>67+93+375</f>
        <v>535</v>
      </c>
      <c r="H37" s="30">
        <f>86+385</f>
        <v>471</v>
      </c>
      <c r="I37" s="30">
        <f>56+334</f>
        <v>390</v>
      </c>
      <c r="J37" s="30">
        <f>44+154+145</f>
        <v>343</v>
      </c>
      <c r="K37" s="30">
        <f>52+126+138+37</f>
        <v>353</v>
      </c>
      <c r="L37" s="30">
        <f>77+898+125+48</f>
        <v>1148</v>
      </c>
      <c r="M37" s="30">
        <f>93+144+139+66+3046</f>
        <v>3488</v>
      </c>
      <c r="N37" s="30">
        <f>60+164+6+135+52+30+103</f>
        <v>550</v>
      </c>
      <c r="O37" s="30">
        <f>62+133+137+244</f>
        <v>576</v>
      </c>
      <c r="P37" s="64">
        <f>63+391+5+21</f>
        <v>480</v>
      </c>
      <c r="Q37" s="64">
        <f>195+216+138</f>
        <v>549</v>
      </c>
      <c r="R37" s="64">
        <f>172+166+274</f>
        <v>612</v>
      </c>
      <c r="S37" s="85">
        <f>24+104+100+261+10</f>
        <v>499</v>
      </c>
    </row>
    <row r="38" spans="1:19" ht="12.75">
      <c r="A38" s="46" t="s">
        <v>18</v>
      </c>
      <c r="B38" s="29">
        <f>SUM(B36:B37)</f>
        <v>2200</v>
      </c>
      <c r="C38" s="29">
        <f aca="true" t="shared" si="12" ref="C38:S38">SUM(C36:C37)</f>
        <v>2648</v>
      </c>
      <c r="D38" s="29">
        <f t="shared" si="12"/>
        <v>1519</v>
      </c>
      <c r="E38" s="29">
        <f t="shared" si="12"/>
        <v>1919</v>
      </c>
      <c r="F38" s="29">
        <f t="shared" si="12"/>
        <v>2051</v>
      </c>
      <c r="G38" s="29">
        <f t="shared" si="12"/>
        <v>1894</v>
      </c>
      <c r="H38" s="29">
        <f>SUM(H36:H37)</f>
        <v>1740</v>
      </c>
      <c r="I38" s="29">
        <f t="shared" si="12"/>
        <v>1664</v>
      </c>
      <c r="J38" s="29">
        <f t="shared" si="12"/>
        <v>1695</v>
      </c>
      <c r="K38" s="29">
        <f t="shared" si="12"/>
        <v>1712</v>
      </c>
      <c r="L38" s="29">
        <f t="shared" si="12"/>
        <v>2564</v>
      </c>
      <c r="M38" s="29">
        <f t="shared" si="12"/>
        <v>5162</v>
      </c>
      <c r="N38" s="29">
        <f t="shared" si="12"/>
        <v>2290</v>
      </c>
      <c r="O38" s="29">
        <f t="shared" si="12"/>
        <v>2487</v>
      </c>
      <c r="P38" s="93">
        <f t="shared" si="12"/>
        <v>861</v>
      </c>
      <c r="Q38" s="93">
        <f t="shared" si="12"/>
        <v>1931</v>
      </c>
      <c r="R38" s="93">
        <f t="shared" si="12"/>
        <v>2244</v>
      </c>
      <c r="S38" s="104">
        <f t="shared" si="12"/>
        <v>2366</v>
      </c>
    </row>
    <row r="39" spans="1:19" ht="12.75">
      <c r="A39" s="51" t="s">
        <v>14</v>
      </c>
      <c r="B39" s="35">
        <f>B38-B66</f>
        <v>-463</v>
      </c>
      <c r="C39" s="35">
        <f aca="true" t="shared" si="13" ref="C39:S39">C38-C66</f>
        <v>-621</v>
      </c>
      <c r="D39" s="35">
        <f t="shared" si="13"/>
        <v>-399</v>
      </c>
      <c r="E39" s="35">
        <f t="shared" si="13"/>
        <v>-174</v>
      </c>
      <c r="F39" s="35">
        <f t="shared" si="13"/>
        <v>175</v>
      </c>
      <c r="G39" s="35">
        <f t="shared" si="13"/>
        <v>-100</v>
      </c>
      <c r="H39" s="35">
        <f>H38-H66</f>
        <v>-380</v>
      </c>
      <c r="I39" s="35">
        <f t="shared" si="13"/>
        <v>-307</v>
      </c>
      <c r="J39" s="35">
        <f t="shared" si="13"/>
        <v>-1047</v>
      </c>
      <c r="K39" s="35">
        <f t="shared" si="13"/>
        <v>-1528</v>
      </c>
      <c r="L39" s="35">
        <f t="shared" si="13"/>
        <v>-883</v>
      </c>
      <c r="M39" s="35">
        <f t="shared" si="13"/>
        <v>-346</v>
      </c>
      <c r="N39" s="35">
        <f t="shared" si="13"/>
        <v>-23</v>
      </c>
      <c r="O39" s="35">
        <f t="shared" si="13"/>
        <v>-376</v>
      </c>
      <c r="P39" s="94">
        <f t="shared" si="13"/>
        <v>-3919</v>
      </c>
      <c r="Q39" s="94">
        <f t="shared" si="13"/>
        <v>-3402</v>
      </c>
      <c r="R39" s="94">
        <f t="shared" si="13"/>
        <v>-1919</v>
      </c>
      <c r="S39" s="105">
        <f t="shared" si="13"/>
        <v>-1520</v>
      </c>
    </row>
    <row r="40" spans="1:19" ht="12.75">
      <c r="A40" s="50"/>
      <c r="B40" s="2"/>
      <c r="C40" s="2"/>
      <c r="D40" s="2"/>
      <c r="E40" s="2"/>
      <c r="F40" s="2"/>
      <c r="G40" s="2"/>
      <c r="H40" s="2"/>
      <c r="I40" s="2"/>
      <c r="J40" s="2"/>
      <c r="K40" s="2"/>
      <c r="L40" s="2"/>
      <c r="M40" s="2"/>
      <c r="N40" s="2"/>
      <c r="O40" s="2"/>
      <c r="P40" s="89"/>
      <c r="Q40" s="89"/>
      <c r="R40" s="89"/>
      <c r="S40" s="85"/>
    </row>
    <row r="41" spans="1:19" ht="12.75">
      <c r="A41" s="38" t="s">
        <v>46</v>
      </c>
      <c r="B41" s="37"/>
      <c r="C41" s="37"/>
      <c r="D41" s="37"/>
      <c r="E41" s="37"/>
      <c r="F41" s="37"/>
      <c r="G41" s="37"/>
      <c r="H41" s="37"/>
      <c r="I41" s="37"/>
      <c r="J41" s="37"/>
      <c r="K41" s="37"/>
      <c r="L41" s="37"/>
      <c r="M41" s="37"/>
      <c r="N41" s="37"/>
      <c r="O41" s="37"/>
      <c r="P41" s="95"/>
      <c r="Q41" s="95"/>
      <c r="R41" s="95"/>
      <c r="S41" s="106"/>
    </row>
    <row r="42" spans="1:19" ht="12.75">
      <c r="A42" s="47" t="s">
        <v>12</v>
      </c>
      <c r="B42" s="30"/>
      <c r="C42" s="30"/>
      <c r="D42" s="30"/>
      <c r="E42" s="30"/>
      <c r="F42" s="30"/>
      <c r="G42" s="30"/>
      <c r="H42" s="30"/>
      <c r="I42" s="30"/>
      <c r="J42" s="30"/>
      <c r="K42" s="30"/>
      <c r="L42" s="30"/>
      <c r="M42" s="30"/>
      <c r="N42" s="30"/>
      <c r="O42" s="30"/>
      <c r="P42" s="64"/>
      <c r="Q42" s="64"/>
      <c r="R42" s="64"/>
      <c r="S42" s="85"/>
    </row>
    <row r="43" spans="1:19" ht="25.5">
      <c r="A43" s="47" t="s">
        <v>16</v>
      </c>
      <c r="B43" s="30">
        <f>48+8+12+21+66+37+22</f>
        <v>214</v>
      </c>
      <c r="C43" s="30">
        <f>31+21+29+19+166+62+7</f>
        <v>335</v>
      </c>
      <c r="D43" s="30">
        <f>19+252+9+94+15</f>
        <v>389</v>
      </c>
      <c r="E43" s="30">
        <f>7+145+25+168+49</f>
        <v>394</v>
      </c>
      <c r="F43" s="30">
        <f>88+52+171+11+35</f>
        <v>357</v>
      </c>
      <c r="G43" s="30">
        <f>321+18+126</f>
        <v>465</v>
      </c>
      <c r="H43" s="30">
        <f>45+329+18</f>
        <v>392</v>
      </c>
      <c r="I43" s="30">
        <f>469+39+36+47</f>
        <v>591</v>
      </c>
      <c r="J43" s="30">
        <f>58+239+59+67</f>
        <v>423</v>
      </c>
      <c r="K43" s="30">
        <f>57+379+8+47+551</f>
        <v>1042</v>
      </c>
      <c r="L43" s="30">
        <f>4+47+395+8+125+67+645</f>
        <v>1291</v>
      </c>
      <c r="M43" s="30">
        <f>673+6+25+632</f>
        <v>1336</v>
      </c>
      <c r="N43" s="30">
        <f>1679+7+37+696</f>
        <v>2419</v>
      </c>
      <c r="O43" s="30">
        <f>4+1201+20+31+740</f>
        <v>1996</v>
      </c>
      <c r="P43" s="64">
        <f>84+807+43+1108+27</f>
        <v>2069</v>
      </c>
      <c r="Q43" s="64">
        <f>71+5+1242+103</f>
        <v>1421</v>
      </c>
      <c r="R43" s="64">
        <f>563+117+687+1149+141</f>
        <v>2657</v>
      </c>
      <c r="S43" s="85">
        <f>214+718+124+104+1984</f>
        <v>3144</v>
      </c>
    </row>
    <row r="44" spans="1:19" ht="12.75">
      <c r="A44" s="46" t="s">
        <v>18</v>
      </c>
      <c r="B44" s="29">
        <f>SUM(B42:B43)</f>
        <v>214</v>
      </c>
      <c r="C44" s="29">
        <f aca="true" t="shared" si="14" ref="C44:S44">SUM(C42:C43)</f>
        <v>335</v>
      </c>
      <c r="D44" s="29">
        <f t="shared" si="14"/>
        <v>389</v>
      </c>
      <c r="E44" s="29">
        <f t="shared" si="14"/>
        <v>394</v>
      </c>
      <c r="F44" s="29">
        <f t="shared" si="14"/>
        <v>357</v>
      </c>
      <c r="G44" s="29">
        <f t="shared" si="14"/>
        <v>465</v>
      </c>
      <c r="H44" s="29">
        <f>SUM(H42:H43)</f>
        <v>392</v>
      </c>
      <c r="I44" s="29">
        <f t="shared" si="14"/>
        <v>591</v>
      </c>
      <c r="J44" s="29">
        <f t="shared" si="14"/>
        <v>423</v>
      </c>
      <c r="K44" s="29">
        <f t="shared" si="14"/>
        <v>1042</v>
      </c>
      <c r="L44" s="29">
        <f t="shared" si="14"/>
        <v>1291</v>
      </c>
      <c r="M44" s="29">
        <f t="shared" si="14"/>
        <v>1336</v>
      </c>
      <c r="N44" s="29">
        <f t="shared" si="14"/>
        <v>2419</v>
      </c>
      <c r="O44" s="29">
        <f t="shared" si="14"/>
        <v>1996</v>
      </c>
      <c r="P44" s="93">
        <f t="shared" si="14"/>
        <v>2069</v>
      </c>
      <c r="Q44" s="93">
        <f t="shared" si="14"/>
        <v>1421</v>
      </c>
      <c r="R44" s="93">
        <f t="shared" si="14"/>
        <v>2657</v>
      </c>
      <c r="S44" s="104">
        <f t="shared" si="14"/>
        <v>3144</v>
      </c>
    </row>
    <row r="45" spans="1:20" ht="12.75">
      <c r="A45" s="51" t="s">
        <v>14</v>
      </c>
      <c r="B45" s="35">
        <f>B44-B67</f>
        <v>-1035</v>
      </c>
      <c r="C45" s="35">
        <f aca="true" t="shared" si="15" ref="C45:S45">C44-C67</f>
        <v>-811</v>
      </c>
      <c r="D45" s="35">
        <f t="shared" si="15"/>
        <v>-1098</v>
      </c>
      <c r="E45" s="35">
        <f t="shared" si="15"/>
        <v>-1731</v>
      </c>
      <c r="F45" s="35">
        <f t="shared" si="15"/>
        <v>-2809</v>
      </c>
      <c r="G45" s="35">
        <f t="shared" si="15"/>
        <v>-2776</v>
      </c>
      <c r="H45" s="35">
        <f>H44-H67</f>
        <v>-2698</v>
      </c>
      <c r="I45" s="35">
        <f t="shared" si="15"/>
        <v>-2720</v>
      </c>
      <c r="J45" s="35">
        <f t="shared" si="15"/>
        <v>-3336</v>
      </c>
      <c r="K45" s="35">
        <f t="shared" si="15"/>
        <v>-3099</v>
      </c>
      <c r="L45" s="35">
        <f t="shared" si="15"/>
        <v>-3329</v>
      </c>
      <c r="M45" s="35">
        <f>M44-M67</f>
        <v>-2525</v>
      </c>
      <c r="N45" s="35">
        <f t="shared" si="15"/>
        <v>-2548</v>
      </c>
      <c r="O45" s="35">
        <f t="shared" si="15"/>
        <v>-2744</v>
      </c>
      <c r="P45" s="94">
        <f t="shared" si="15"/>
        <v>-3349</v>
      </c>
      <c r="Q45" s="94">
        <f t="shared" si="15"/>
        <v>-3790</v>
      </c>
      <c r="R45" s="94">
        <f t="shared" si="15"/>
        <v>-3842</v>
      </c>
      <c r="S45" s="105">
        <f t="shared" si="15"/>
        <v>-4683</v>
      </c>
      <c r="T45" s="102" t="s">
        <v>61</v>
      </c>
    </row>
    <row r="46" spans="1:19" ht="12.75">
      <c r="A46" s="50"/>
      <c r="B46" s="2"/>
      <c r="C46" s="2"/>
      <c r="D46" s="2"/>
      <c r="E46" s="2"/>
      <c r="F46" s="2"/>
      <c r="G46" s="2"/>
      <c r="H46" s="2"/>
      <c r="I46" s="2"/>
      <c r="J46" s="2"/>
      <c r="K46" s="2"/>
      <c r="L46" s="2"/>
      <c r="M46" s="2"/>
      <c r="N46" s="2"/>
      <c r="O46" s="2"/>
      <c r="P46" s="89"/>
      <c r="Q46" s="89"/>
      <c r="R46" s="89"/>
      <c r="S46" s="85"/>
    </row>
    <row r="47" spans="1:19" ht="12.75">
      <c r="A47" s="38" t="s">
        <v>47</v>
      </c>
      <c r="B47" s="37"/>
      <c r="C47" s="37"/>
      <c r="D47" s="37"/>
      <c r="E47" s="37"/>
      <c r="F47" s="37"/>
      <c r="G47" s="37"/>
      <c r="H47" s="37"/>
      <c r="I47" s="37"/>
      <c r="J47" s="37"/>
      <c r="K47" s="37"/>
      <c r="L47" s="37"/>
      <c r="M47" s="37"/>
      <c r="N47" s="37"/>
      <c r="O47" s="37"/>
      <c r="P47" s="95"/>
      <c r="Q47" s="95"/>
      <c r="R47" s="95"/>
      <c r="S47" s="106"/>
    </row>
    <row r="48" spans="1:19" ht="12.75">
      <c r="A48" s="47" t="s">
        <v>12</v>
      </c>
      <c r="B48" s="2">
        <f>647+3308</f>
        <v>3955</v>
      </c>
      <c r="C48" s="2">
        <v>2887</v>
      </c>
      <c r="D48" s="2">
        <v>2944</v>
      </c>
      <c r="E48" s="2">
        <v>2787</v>
      </c>
      <c r="F48" s="2">
        <v>1643</v>
      </c>
      <c r="G48" s="2">
        <v>835</v>
      </c>
      <c r="H48" s="2">
        <v>511</v>
      </c>
      <c r="I48" s="2">
        <v>536</v>
      </c>
      <c r="J48" s="2">
        <v>0</v>
      </c>
      <c r="K48" s="2">
        <v>0</v>
      </c>
      <c r="L48" s="2">
        <v>0</v>
      </c>
      <c r="M48" s="2">
        <v>0</v>
      </c>
      <c r="N48" s="2">
        <v>0</v>
      </c>
      <c r="O48" s="2">
        <v>0</v>
      </c>
      <c r="P48" s="89">
        <v>9</v>
      </c>
      <c r="Q48" s="89">
        <v>8</v>
      </c>
      <c r="R48" s="89"/>
      <c r="S48" s="85"/>
    </row>
    <row r="49" spans="1:19" ht="25.5">
      <c r="A49" s="47" t="s">
        <v>16</v>
      </c>
      <c r="B49" s="2">
        <f>46+65+65+7+8+1963+60</f>
        <v>2214</v>
      </c>
      <c r="C49" s="2">
        <f>1+59+169+35+1147+450</f>
        <v>1861</v>
      </c>
      <c r="D49" s="2">
        <f>1403+645</f>
        <v>2048</v>
      </c>
      <c r="E49" s="2">
        <f>1805+743</f>
        <v>2548</v>
      </c>
      <c r="F49" s="2">
        <f>2189+1541</f>
        <v>3730</v>
      </c>
      <c r="G49" s="2">
        <f>1007+510</f>
        <v>1517</v>
      </c>
      <c r="H49" s="2">
        <f>1674</f>
        <v>1674</v>
      </c>
      <c r="I49" s="2">
        <v>2441</v>
      </c>
      <c r="J49" s="2">
        <f>1062+172</f>
        <v>1234</v>
      </c>
      <c r="K49" s="2">
        <v>47</v>
      </c>
      <c r="L49" s="2">
        <v>47</v>
      </c>
      <c r="M49" s="2">
        <v>173</v>
      </c>
      <c r="N49" s="2">
        <f>78+37</f>
        <v>115</v>
      </c>
      <c r="O49" s="2">
        <f>96+49</f>
        <v>145</v>
      </c>
      <c r="P49" s="89">
        <f>18</f>
        <v>18</v>
      </c>
      <c r="Q49" s="89">
        <v>19</v>
      </c>
      <c r="R49" s="89">
        <v>3</v>
      </c>
      <c r="S49" s="85">
        <v>6</v>
      </c>
    </row>
    <row r="50" spans="1:19" ht="12.75">
      <c r="A50" s="46" t="s">
        <v>18</v>
      </c>
      <c r="B50" s="29">
        <f>SUM(B48:B49)</f>
        <v>6169</v>
      </c>
      <c r="C50" s="29">
        <f aca="true" t="shared" si="16" ref="C50:S50">SUM(C48:C49)</f>
        <v>4748</v>
      </c>
      <c r="D50" s="29">
        <f t="shared" si="16"/>
        <v>4992</v>
      </c>
      <c r="E50" s="29">
        <f t="shared" si="16"/>
        <v>5335</v>
      </c>
      <c r="F50" s="29">
        <f t="shared" si="16"/>
        <v>5373</v>
      </c>
      <c r="G50" s="29">
        <f t="shared" si="16"/>
        <v>2352</v>
      </c>
      <c r="H50" s="29">
        <f>SUM(H48:H49)</f>
        <v>2185</v>
      </c>
      <c r="I50" s="29">
        <f t="shared" si="16"/>
        <v>2977</v>
      </c>
      <c r="J50" s="29">
        <f t="shared" si="16"/>
        <v>1234</v>
      </c>
      <c r="K50" s="29">
        <f t="shared" si="16"/>
        <v>47</v>
      </c>
      <c r="L50" s="29">
        <f t="shared" si="16"/>
        <v>47</v>
      </c>
      <c r="M50" s="29">
        <f t="shared" si="16"/>
        <v>173</v>
      </c>
      <c r="N50" s="29">
        <f t="shared" si="16"/>
        <v>115</v>
      </c>
      <c r="O50" s="29">
        <f t="shared" si="16"/>
        <v>145</v>
      </c>
      <c r="P50" s="93">
        <f t="shared" si="16"/>
        <v>27</v>
      </c>
      <c r="Q50" s="93">
        <f t="shared" si="16"/>
        <v>27</v>
      </c>
      <c r="R50" s="93">
        <f t="shared" si="16"/>
        <v>3</v>
      </c>
      <c r="S50" s="104">
        <f t="shared" si="16"/>
        <v>6</v>
      </c>
    </row>
    <row r="51" spans="1:19" ht="12.75">
      <c r="A51" s="51" t="s">
        <v>14</v>
      </c>
      <c r="B51" s="35">
        <f>B50-B68-840</f>
        <v>-2247</v>
      </c>
      <c r="C51" s="35">
        <f>C50-C68+758</f>
        <v>-1531</v>
      </c>
      <c r="D51" s="35">
        <f>D50-D68+964</f>
        <v>-550</v>
      </c>
      <c r="E51" s="35">
        <f>E50-E68+1066</f>
        <v>163</v>
      </c>
      <c r="F51" s="35">
        <f>F50-F68+590</f>
        <v>-826</v>
      </c>
      <c r="G51" s="35">
        <f>G50-G68+570</f>
        <v>-884</v>
      </c>
      <c r="H51" s="35">
        <f>H50-H68+577</f>
        <v>-1014</v>
      </c>
      <c r="I51" s="35">
        <f>I50-I68+582</f>
        <v>-774</v>
      </c>
      <c r="J51" s="35">
        <f>J50-J68+618</f>
        <v>-1399</v>
      </c>
      <c r="K51" s="35">
        <f>K50-K68+590</f>
        <v>-1390</v>
      </c>
      <c r="L51" s="35">
        <f>L50-L68+511</f>
        <v>-866</v>
      </c>
      <c r="M51" s="35">
        <f>M50-M68+519</f>
        <v>-1543</v>
      </c>
      <c r="N51" s="35">
        <f>N50-N68+498</f>
        <v>-1741</v>
      </c>
      <c r="O51" s="35">
        <f>O50-O68+511</f>
        <v>-1281</v>
      </c>
      <c r="P51" s="94">
        <f>P50-P68</f>
        <v>-898</v>
      </c>
      <c r="Q51" s="94">
        <f>Q50-Q68</f>
        <v>-1075</v>
      </c>
      <c r="R51" s="94">
        <f>R50-R68</f>
        <v>-708</v>
      </c>
      <c r="S51" s="105">
        <f>S50-S68</f>
        <v>-763</v>
      </c>
    </row>
    <row r="52" spans="1:19" ht="12.75">
      <c r="A52" s="50"/>
      <c r="B52" s="2"/>
      <c r="C52" s="2"/>
      <c r="D52" s="2"/>
      <c r="E52" s="2"/>
      <c r="F52" s="2"/>
      <c r="G52" s="2"/>
      <c r="H52" s="2"/>
      <c r="I52" s="2"/>
      <c r="J52" s="2"/>
      <c r="K52" s="2"/>
      <c r="L52" s="2"/>
      <c r="M52" s="2"/>
      <c r="N52" s="2"/>
      <c r="O52" s="2"/>
      <c r="P52" s="89"/>
      <c r="Q52" s="89"/>
      <c r="R52" s="89"/>
      <c r="S52" s="85"/>
    </row>
    <row r="53" spans="1:19" ht="12.75">
      <c r="A53" s="25" t="s">
        <v>13</v>
      </c>
      <c r="B53" s="24"/>
      <c r="C53" s="24"/>
      <c r="D53" s="24"/>
      <c r="E53" s="24"/>
      <c r="F53" s="24"/>
      <c r="G53" s="24"/>
      <c r="H53" s="24"/>
      <c r="I53" s="24"/>
      <c r="J53" s="24"/>
      <c r="K53" s="24"/>
      <c r="L53" s="24"/>
      <c r="M53" s="24"/>
      <c r="N53" s="24"/>
      <c r="O53" s="24"/>
      <c r="P53" s="96"/>
      <c r="Q53" s="96"/>
      <c r="R53" s="96"/>
      <c r="S53" s="107"/>
    </row>
    <row r="54" spans="1:19" ht="12.75">
      <c r="A54" s="52" t="s">
        <v>12</v>
      </c>
      <c r="B54" s="66">
        <f>SUM(B18,B24,B30,B36,B42,B48)</f>
        <v>4956</v>
      </c>
      <c r="C54" s="66">
        <f aca="true" t="shared" si="17" ref="C54:S57">SUM(C18,C24,C30,C36,C42,C48)</f>
        <v>3808</v>
      </c>
      <c r="D54" s="66">
        <f t="shared" si="17"/>
        <v>3884</v>
      </c>
      <c r="E54" s="66">
        <f t="shared" si="17"/>
        <v>3738</v>
      </c>
      <c r="F54" s="66">
        <f t="shared" si="17"/>
        <v>2597</v>
      </c>
      <c r="G54" s="66">
        <f t="shared" si="17"/>
        <v>2194</v>
      </c>
      <c r="H54" s="66">
        <f>SUM(H18,H24,H30,H36,H42,H48)</f>
        <v>1780</v>
      </c>
      <c r="I54" s="66">
        <f t="shared" si="17"/>
        <v>1810</v>
      </c>
      <c r="J54" s="66">
        <f t="shared" si="17"/>
        <v>1352</v>
      </c>
      <c r="K54" s="66">
        <f t="shared" si="17"/>
        <v>1359</v>
      </c>
      <c r="L54" s="66">
        <f t="shared" si="17"/>
        <v>1416</v>
      </c>
      <c r="M54" s="66">
        <f t="shared" si="17"/>
        <v>1674</v>
      </c>
      <c r="N54" s="66">
        <f t="shared" si="17"/>
        <v>1740</v>
      </c>
      <c r="O54" s="66">
        <f t="shared" si="17"/>
        <v>1911</v>
      </c>
      <c r="P54" s="97">
        <f t="shared" si="17"/>
        <v>390</v>
      </c>
      <c r="Q54" s="97">
        <f t="shared" si="17"/>
        <v>1390</v>
      </c>
      <c r="R54" s="97">
        <f t="shared" si="17"/>
        <v>1632</v>
      </c>
      <c r="S54" s="108">
        <f t="shared" si="17"/>
        <v>1867</v>
      </c>
    </row>
    <row r="55" spans="1:19" ht="12.75">
      <c r="A55" s="53" t="s">
        <v>11</v>
      </c>
      <c r="B55" s="22">
        <f>SUM(B19,B25,B31,B37,B43,B49)</f>
        <v>3627</v>
      </c>
      <c r="C55" s="22">
        <f t="shared" si="17"/>
        <v>3923</v>
      </c>
      <c r="D55" s="22">
        <f t="shared" si="17"/>
        <v>3016</v>
      </c>
      <c r="E55" s="22">
        <f t="shared" si="17"/>
        <v>3910</v>
      </c>
      <c r="F55" s="22">
        <f t="shared" si="17"/>
        <v>5184</v>
      </c>
      <c r="G55" s="22">
        <f t="shared" si="17"/>
        <v>2517</v>
      </c>
      <c r="H55" s="22">
        <f>SUM(H19,H25,H31,H37,H43,H49)</f>
        <v>2537</v>
      </c>
      <c r="I55" s="22">
        <f t="shared" si="17"/>
        <v>3422</v>
      </c>
      <c r="J55" s="22">
        <f t="shared" si="17"/>
        <v>2000</v>
      </c>
      <c r="K55" s="22">
        <f t="shared" si="17"/>
        <v>1442</v>
      </c>
      <c r="L55" s="22">
        <f t="shared" si="17"/>
        <v>2486</v>
      </c>
      <c r="M55" s="22">
        <f t="shared" si="17"/>
        <v>4997</v>
      </c>
      <c r="N55" s="22">
        <f t="shared" si="17"/>
        <v>3084</v>
      </c>
      <c r="O55" s="22">
        <f t="shared" si="17"/>
        <v>2717</v>
      </c>
      <c r="P55" s="98">
        <f t="shared" si="17"/>
        <v>2567</v>
      </c>
      <c r="Q55" s="98">
        <f t="shared" si="17"/>
        <v>1989</v>
      </c>
      <c r="R55" s="98">
        <f t="shared" si="17"/>
        <v>3272</v>
      </c>
      <c r="S55" s="109">
        <f t="shared" si="17"/>
        <v>3649</v>
      </c>
    </row>
    <row r="56" spans="1:19" ht="25.5">
      <c r="A56" s="54" t="s">
        <v>10</v>
      </c>
      <c r="B56" s="20">
        <f>SUM(B20,B26,B32,B38,B44,B50)</f>
        <v>8583</v>
      </c>
      <c r="C56" s="20">
        <f t="shared" si="17"/>
        <v>7731</v>
      </c>
      <c r="D56" s="20">
        <f t="shared" si="17"/>
        <v>6900</v>
      </c>
      <c r="E56" s="20">
        <f t="shared" si="17"/>
        <v>7648</v>
      </c>
      <c r="F56" s="20">
        <f t="shared" si="17"/>
        <v>7781</v>
      </c>
      <c r="G56" s="20">
        <f t="shared" si="17"/>
        <v>4711</v>
      </c>
      <c r="H56" s="20">
        <f>SUM(H20,H26,H32,H38,H44,H50)</f>
        <v>4317</v>
      </c>
      <c r="I56" s="20">
        <f t="shared" si="17"/>
        <v>5232</v>
      </c>
      <c r="J56" s="20">
        <f t="shared" si="17"/>
        <v>3352</v>
      </c>
      <c r="K56" s="20">
        <f t="shared" si="17"/>
        <v>2801</v>
      </c>
      <c r="L56" s="20">
        <f t="shared" si="17"/>
        <v>3902</v>
      </c>
      <c r="M56" s="20">
        <f t="shared" si="17"/>
        <v>6671</v>
      </c>
      <c r="N56" s="20">
        <f t="shared" si="17"/>
        <v>4824</v>
      </c>
      <c r="O56" s="20">
        <f t="shared" si="17"/>
        <v>4628</v>
      </c>
      <c r="P56" s="94">
        <f t="shared" si="17"/>
        <v>2957</v>
      </c>
      <c r="Q56" s="94">
        <f t="shared" si="17"/>
        <v>3379</v>
      </c>
      <c r="R56" s="94">
        <f t="shared" si="17"/>
        <v>4904</v>
      </c>
      <c r="S56" s="105">
        <f t="shared" si="17"/>
        <v>5516</v>
      </c>
    </row>
    <row r="57" spans="1:19" ht="12.75">
      <c r="A57" s="55" t="s">
        <v>9</v>
      </c>
      <c r="B57" s="71">
        <f>SUM(B21,B27,B33,B39,B45,B51)</f>
        <v>-3745</v>
      </c>
      <c r="C57" s="71">
        <f t="shared" si="17"/>
        <v>-2963</v>
      </c>
      <c r="D57" s="71">
        <f t="shared" si="17"/>
        <v>-2047</v>
      </c>
      <c r="E57" s="71">
        <f t="shared" si="17"/>
        <v>-1742</v>
      </c>
      <c r="F57" s="71">
        <f t="shared" si="17"/>
        <v>-3460</v>
      </c>
      <c r="G57" s="71">
        <f t="shared" si="17"/>
        <v>-3760</v>
      </c>
      <c r="H57" s="71">
        <f>SUM(H21,H27,H33,H39,H45,H51)</f>
        <v>-4092</v>
      </c>
      <c r="I57" s="71">
        <f t="shared" si="17"/>
        <v>-3801</v>
      </c>
      <c r="J57" s="71">
        <f t="shared" si="17"/>
        <v>-5782</v>
      </c>
      <c r="K57" s="71">
        <f t="shared" si="17"/>
        <v>-6017</v>
      </c>
      <c r="L57" s="71">
        <f t="shared" si="17"/>
        <v>-5078</v>
      </c>
      <c r="M57" s="71">
        <f t="shared" si="17"/>
        <v>-4414</v>
      </c>
      <c r="N57" s="71">
        <f t="shared" si="17"/>
        <v>-4312</v>
      </c>
      <c r="O57" s="71">
        <f t="shared" si="17"/>
        <v>-4401</v>
      </c>
      <c r="P57" s="93">
        <f t="shared" si="17"/>
        <v>-8166</v>
      </c>
      <c r="Q57" s="93">
        <f t="shared" si="17"/>
        <v>-8267</v>
      </c>
      <c r="R57" s="93">
        <f t="shared" si="17"/>
        <v>-6469</v>
      </c>
      <c r="S57" s="104">
        <f t="shared" si="17"/>
        <v>-6966</v>
      </c>
    </row>
    <row r="58" spans="1:19" ht="12.75">
      <c r="A58" s="56" t="s">
        <v>8</v>
      </c>
      <c r="B58" s="17">
        <f aca="true" t="shared" si="18" ref="B58:J58">B59-B55-B15</f>
        <v>31274</v>
      </c>
      <c r="C58" s="17">
        <f t="shared" si="18"/>
        <v>27737</v>
      </c>
      <c r="D58" s="17">
        <f t="shared" si="18"/>
        <v>24346</v>
      </c>
      <c r="E58" s="17">
        <f t="shared" si="18"/>
        <v>27574</v>
      </c>
      <c r="F58" s="17">
        <f t="shared" si="18"/>
        <v>28007</v>
      </c>
      <c r="G58" s="17">
        <f t="shared" si="18"/>
        <v>29110</v>
      </c>
      <c r="H58" s="17">
        <f t="shared" si="18"/>
        <v>25356</v>
      </c>
      <c r="I58" s="17">
        <f t="shared" si="18"/>
        <v>24732</v>
      </c>
      <c r="J58" s="17">
        <f t="shared" si="18"/>
        <v>27287</v>
      </c>
      <c r="K58" s="17">
        <f>K59-K55-K15</f>
        <v>29253</v>
      </c>
      <c r="L58" s="17">
        <f aca="true" t="shared" si="19" ref="L58:S58">L59-L55-L15</f>
        <v>33605</v>
      </c>
      <c r="M58" s="17">
        <f t="shared" si="19"/>
        <v>34928</v>
      </c>
      <c r="N58" s="17">
        <f t="shared" si="19"/>
        <v>43814</v>
      </c>
      <c r="O58" s="17">
        <f t="shared" si="19"/>
        <v>48759</v>
      </c>
      <c r="P58" s="99">
        <f t="shared" si="19"/>
        <v>51367</v>
      </c>
      <c r="Q58" s="99">
        <f t="shared" si="19"/>
        <v>58092</v>
      </c>
      <c r="R58" s="99">
        <f t="shared" si="19"/>
        <v>94263</v>
      </c>
      <c r="S58" s="110">
        <f t="shared" si="19"/>
        <v>91675</v>
      </c>
    </row>
    <row r="59" spans="1:19" ht="12.75">
      <c r="A59" s="57" t="s">
        <v>7</v>
      </c>
      <c r="B59" s="7">
        <v>47316</v>
      </c>
      <c r="C59" s="7">
        <v>42416</v>
      </c>
      <c r="D59" s="7">
        <v>37694</v>
      </c>
      <c r="E59" s="7">
        <v>41642</v>
      </c>
      <c r="F59" s="7">
        <v>42172</v>
      </c>
      <c r="G59" s="7">
        <v>40210</v>
      </c>
      <c r="H59" s="7">
        <v>35195</v>
      </c>
      <c r="I59" s="7">
        <v>34926</v>
      </c>
      <c r="J59" s="7">
        <v>35033</v>
      </c>
      <c r="K59" s="7">
        <v>36494</v>
      </c>
      <c r="L59" s="7">
        <v>42209</v>
      </c>
      <c r="M59" s="7">
        <v>45989</v>
      </c>
      <c r="N59" s="7">
        <v>53312</v>
      </c>
      <c r="O59" s="7">
        <v>58135</v>
      </c>
      <c r="P59" s="7">
        <v>60827</v>
      </c>
      <c r="Q59" s="7">
        <v>68562</v>
      </c>
      <c r="R59" s="7">
        <v>106716</v>
      </c>
      <c r="S59" s="6">
        <v>106133</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57+157</f>
        <v>214</v>
      </c>
      <c r="C62" s="2">
        <f>93+73</f>
        <v>166</v>
      </c>
      <c r="D62" s="89">
        <v>1352</v>
      </c>
      <c r="E62" s="89">
        <v>1873</v>
      </c>
      <c r="F62" s="2">
        <v>227</v>
      </c>
      <c r="G62" s="2">
        <v>416</v>
      </c>
      <c r="H62" s="2">
        <v>504</v>
      </c>
      <c r="I62" s="2">
        <v>537</v>
      </c>
      <c r="J62" s="2">
        <v>2247</v>
      </c>
      <c r="K62" s="86">
        <v>2311</v>
      </c>
      <c r="L62" s="2">
        <v>3544</v>
      </c>
      <c r="M62" s="2">
        <v>2474</v>
      </c>
      <c r="N62" s="2">
        <v>3709</v>
      </c>
      <c r="O62" s="2">
        <f>3790+250</f>
        <v>4040</v>
      </c>
      <c r="P62" s="89">
        <f>1940</f>
        <v>1940</v>
      </c>
      <c r="Q62" s="89">
        <v>1295</v>
      </c>
      <c r="R62" s="89">
        <v>1425</v>
      </c>
      <c r="S62" s="85">
        <v>1128</v>
      </c>
    </row>
    <row r="63" spans="1:19" ht="12.75">
      <c r="A63" s="58" t="s">
        <v>37</v>
      </c>
      <c r="B63" s="15">
        <v>3624</v>
      </c>
      <c r="C63" s="15">
        <v>3311</v>
      </c>
      <c r="D63" s="15">
        <v>3407</v>
      </c>
      <c r="E63" s="91">
        <v>3664</v>
      </c>
      <c r="F63" s="91">
        <v>3892</v>
      </c>
      <c r="G63" s="15">
        <v>3208</v>
      </c>
      <c r="H63" s="15">
        <v>1837</v>
      </c>
      <c r="I63" s="15">
        <v>1712</v>
      </c>
      <c r="J63" s="15">
        <v>1747</v>
      </c>
      <c r="K63" s="91">
        <v>1651</v>
      </c>
      <c r="L63" s="91">
        <v>1649</v>
      </c>
      <c r="M63" s="91">
        <v>1673</v>
      </c>
      <c r="N63" s="91">
        <v>1737</v>
      </c>
      <c r="O63" s="15">
        <v>1864</v>
      </c>
      <c r="P63" s="91">
        <v>5989</v>
      </c>
      <c r="Q63" s="91">
        <v>6970</v>
      </c>
      <c r="R63" s="91">
        <v>9189</v>
      </c>
      <c r="S63" s="111">
        <v>9935</v>
      </c>
    </row>
    <row r="64" spans="1:19" ht="25.5" outlineLevel="1">
      <c r="A64" s="59" t="s">
        <v>52</v>
      </c>
      <c r="B64" s="13"/>
      <c r="C64" s="13"/>
      <c r="D64" s="13"/>
      <c r="E64" s="13"/>
      <c r="F64" s="13"/>
      <c r="G64" s="13"/>
      <c r="H64" s="13"/>
      <c r="I64" s="13"/>
      <c r="J64" s="13"/>
      <c r="K64" s="13"/>
      <c r="L64" s="13"/>
      <c r="M64" s="13"/>
      <c r="N64" s="13"/>
      <c r="O64" s="13"/>
      <c r="P64" s="63"/>
      <c r="Q64" s="63"/>
      <c r="R64" s="63"/>
      <c r="S64" s="103"/>
    </row>
    <row r="65" spans="1:19" ht="12.75" customHeight="1" outlineLevel="1">
      <c r="A65" s="60" t="s">
        <v>5</v>
      </c>
      <c r="B65" s="11"/>
      <c r="C65" s="11"/>
      <c r="D65" s="11"/>
      <c r="E65" s="11"/>
      <c r="F65" s="11"/>
      <c r="G65" s="11"/>
      <c r="H65" s="11"/>
      <c r="I65" s="11"/>
      <c r="J65" s="11"/>
      <c r="K65" s="11"/>
      <c r="L65" s="11"/>
      <c r="M65" s="11"/>
      <c r="N65" s="11"/>
      <c r="O65" s="11"/>
      <c r="P65" s="92"/>
      <c r="Q65" s="92"/>
      <c r="R65" s="92"/>
      <c r="S65" s="112"/>
    </row>
    <row r="66" spans="1:19" ht="12.75">
      <c r="A66" s="59" t="s">
        <v>42</v>
      </c>
      <c r="B66" s="13">
        <f>480+2048+135</f>
        <v>2663</v>
      </c>
      <c r="C66" s="13">
        <f>746+2037+76+410</f>
        <v>3269</v>
      </c>
      <c r="D66" s="13">
        <v>1918</v>
      </c>
      <c r="E66" s="13">
        <v>2093</v>
      </c>
      <c r="F66" s="13">
        <v>1876</v>
      </c>
      <c r="G66" s="13">
        <v>1994</v>
      </c>
      <c r="H66" s="13">
        <v>2120</v>
      </c>
      <c r="I66" s="13">
        <v>1971</v>
      </c>
      <c r="J66" s="13">
        <v>2742</v>
      </c>
      <c r="K66" s="13">
        <v>3240</v>
      </c>
      <c r="L66" s="13">
        <f>3447</f>
        <v>3447</v>
      </c>
      <c r="M66" s="13">
        <v>5508</v>
      </c>
      <c r="N66" s="13">
        <v>2313</v>
      </c>
      <c r="O66" s="13">
        <v>2863</v>
      </c>
      <c r="P66" s="63">
        <v>4780</v>
      </c>
      <c r="Q66" s="63">
        <v>5333</v>
      </c>
      <c r="R66" s="63">
        <v>4163</v>
      </c>
      <c r="S66" s="103">
        <v>3886</v>
      </c>
    </row>
    <row r="67" spans="1:19" ht="13.5" customHeight="1">
      <c r="A67" s="79" t="s">
        <v>50</v>
      </c>
      <c r="B67" s="82">
        <f>439+589+221</f>
        <v>1249</v>
      </c>
      <c r="C67" s="82">
        <f>470+676</f>
        <v>1146</v>
      </c>
      <c r="D67" s="82">
        <f>585+902</f>
        <v>1487</v>
      </c>
      <c r="E67" s="82">
        <f>1163+962</f>
        <v>2125</v>
      </c>
      <c r="F67" s="82">
        <f>1478+1304+384</f>
        <v>3166</v>
      </c>
      <c r="G67" s="82">
        <f>1444+1468+329</f>
        <v>3241</v>
      </c>
      <c r="H67" s="82">
        <f>1255+1573+262</f>
        <v>3090</v>
      </c>
      <c r="I67" s="82">
        <f>1473+1479+359</f>
        <v>3311</v>
      </c>
      <c r="J67" s="82">
        <f>1296+1826+637</f>
        <v>3759</v>
      </c>
      <c r="K67" s="82">
        <f>1513+1178+1450</f>
        <v>4141</v>
      </c>
      <c r="L67" s="82">
        <f>1884+1223+1513</f>
        <v>4620</v>
      </c>
      <c r="M67" s="82">
        <f>1050+1358+1453</f>
        <v>3861</v>
      </c>
      <c r="N67" s="82">
        <f>2608+836+1523</f>
        <v>4967</v>
      </c>
      <c r="O67" s="82">
        <f>713+2238+1789</f>
        <v>4740</v>
      </c>
      <c r="P67" s="80">
        <f>2389+157+2872</f>
        <v>5418</v>
      </c>
      <c r="Q67" s="80">
        <f>1521+275+3415</f>
        <v>5211</v>
      </c>
      <c r="R67" s="80">
        <f>2495+687+3317</f>
        <v>6499</v>
      </c>
      <c r="S67" s="113">
        <f>3076+981+3770</f>
        <v>7827</v>
      </c>
    </row>
    <row r="68" spans="1:19" ht="12.75">
      <c r="A68" s="79" t="s">
        <v>41</v>
      </c>
      <c r="B68" s="13">
        <f>524+840+3710+2502</f>
        <v>7576</v>
      </c>
      <c r="C68" s="13">
        <f>479+758+3887+1913</f>
        <v>7037</v>
      </c>
      <c r="D68" s="13">
        <f>5542+964</f>
        <v>6506</v>
      </c>
      <c r="E68" s="13">
        <f>1066+5172</f>
        <v>6238</v>
      </c>
      <c r="F68" s="13">
        <f>590+6199</f>
        <v>6789</v>
      </c>
      <c r="G68" s="13">
        <f>570+3236</f>
        <v>3806</v>
      </c>
      <c r="H68" s="13">
        <f>577+3199</f>
        <v>3776</v>
      </c>
      <c r="I68" s="13">
        <f>582+3751</f>
        <v>4333</v>
      </c>
      <c r="J68" s="13">
        <f>618+2633</f>
        <v>3251</v>
      </c>
      <c r="K68" s="13">
        <f>1437+590</f>
        <v>2027</v>
      </c>
      <c r="L68" s="13">
        <f>511+913</f>
        <v>1424</v>
      </c>
      <c r="M68" s="80">
        <f>1716+519</f>
        <v>2235</v>
      </c>
      <c r="N68" s="63">
        <f>498+1856</f>
        <v>2354</v>
      </c>
      <c r="O68" s="63">
        <f>511+1426</f>
        <v>1937</v>
      </c>
      <c r="P68" s="63">
        <f>925</f>
        <v>925</v>
      </c>
      <c r="Q68" s="63">
        <v>1102</v>
      </c>
      <c r="R68" s="63">
        <v>711</v>
      </c>
      <c r="S68" s="103">
        <v>769</v>
      </c>
    </row>
    <row r="69" spans="1:19" ht="51">
      <c r="A69" s="61" t="s">
        <v>4</v>
      </c>
      <c r="B69" s="9">
        <f>19950-SUM(B62:B68)</f>
        <v>4624</v>
      </c>
      <c r="C69" s="9">
        <f>19380-SUM(C62:C68)</f>
        <v>4451</v>
      </c>
      <c r="D69" s="9">
        <f>17220-SUM(D62:D68)</f>
        <v>2550</v>
      </c>
      <c r="E69" s="9">
        <f>17367-SUM(E62:E68)</f>
        <v>1374</v>
      </c>
      <c r="F69" s="9">
        <f>18406-SUM(F62:F68)</f>
        <v>2456</v>
      </c>
      <c r="G69" s="9">
        <f>14635-SUM(G62:G68)</f>
        <v>1970</v>
      </c>
      <c r="H69" s="9">
        <f>13229-SUM(H62:H68)</f>
        <v>1902</v>
      </c>
      <c r="I69" s="9">
        <f>13722-SUM(I62:I68)</f>
        <v>1858</v>
      </c>
      <c r="J69" s="9">
        <f>14732-SUM(J62:J68)</f>
        <v>986</v>
      </c>
      <c r="K69" s="9">
        <f>13794-SUM(K62:K68)</f>
        <v>424</v>
      </c>
      <c r="L69" s="9">
        <f>13630-SUM(L62:L68)</f>
        <v>-1054</v>
      </c>
      <c r="M69" s="9">
        <f>14360-SUM(M62:M68)</f>
        <v>-1391</v>
      </c>
      <c r="N69" s="9">
        <f>14871-SUM(N62:N68)</f>
        <v>-209</v>
      </c>
      <c r="O69" s="9">
        <f>15219-SUM(O62:O68)</f>
        <v>-225</v>
      </c>
      <c r="P69" s="100">
        <f>18665-SUM(P62:P68)</f>
        <v>-387</v>
      </c>
      <c r="Q69" s="9">
        <f>20225-SUM(Q62:Q68)</f>
        <v>314</v>
      </c>
      <c r="R69" s="9">
        <f>22852-SUM(R62:R68)</f>
        <v>865</v>
      </c>
      <c r="S69" s="8">
        <f>25079-SUM(S62:S68)</f>
        <v>1534</v>
      </c>
    </row>
    <row r="70" spans="1:19" ht="25.5">
      <c r="A70" s="61" t="s">
        <v>3</v>
      </c>
      <c r="B70" s="9">
        <f>B72-19950</f>
        <v>19742</v>
      </c>
      <c r="C70" s="9">
        <f>C72-19380</f>
        <v>18607</v>
      </c>
      <c r="D70" s="9">
        <f>D72-17220</f>
        <v>17318</v>
      </c>
      <c r="E70" s="9">
        <f>E72-17367</f>
        <v>18371</v>
      </c>
      <c r="F70" s="9">
        <f>F72-18406</f>
        <v>17786</v>
      </c>
      <c r="G70" s="9">
        <f>G72-14635</f>
        <v>17078</v>
      </c>
      <c r="H70" s="9">
        <f>H72-13229</f>
        <v>16687</v>
      </c>
      <c r="I70" s="9">
        <f>I72-13722</f>
        <v>15806</v>
      </c>
      <c r="J70" s="9">
        <f>J72-14732</f>
        <v>17364</v>
      </c>
      <c r="K70" s="9">
        <f>K72-13794</f>
        <v>17843</v>
      </c>
      <c r="L70" s="9">
        <f>L72-13630</f>
        <v>20364</v>
      </c>
      <c r="M70" s="9">
        <f>M72-14360</f>
        <v>21557</v>
      </c>
      <c r="N70" s="9">
        <f>N72-14871</f>
        <v>26394</v>
      </c>
      <c r="O70" s="9">
        <f>O72-15219</f>
        <v>30841</v>
      </c>
      <c r="P70" s="100">
        <f>P72-18665</f>
        <v>33875</v>
      </c>
      <c r="Q70" s="9">
        <f>Q72-20225</f>
        <v>37137</v>
      </c>
      <c r="R70" s="9">
        <f>R72-22852</f>
        <v>46487</v>
      </c>
      <c r="S70" s="8">
        <f>S72-25079</f>
        <v>50865</v>
      </c>
    </row>
    <row r="71" spans="1:19" ht="63.75">
      <c r="A71" s="47" t="s">
        <v>2</v>
      </c>
      <c r="B71" s="74">
        <f>B72-SUM(B62:B68)</f>
        <v>24366</v>
      </c>
      <c r="C71" s="74">
        <f aca="true" t="shared" si="20" ref="C71:S71">C72-SUM(C62:C68)</f>
        <v>23058</v>
      </c>
      <c r="D71" s="74">
        <f t="shared" si="20"/>
        <v>19868</v>
      </c>
      <c r="E71" s="74">
        <f t="shared" si="20"/>
        <v>19745</v>
      </c>
      <c r="F71" s="74">
        <f t="shared" si="20"/>
        <v>20242</v>
      </c>
      <c r="G71" s="74">
        <f t="shared" si="20"/>
        <v>19048</v>
      </c>
      <c r="H71" s="74">
        <f>H72-SUM(H62:H68)</f>
        <v>18589</v>
      </c>
      <c r="I71" s="74">
        <f t="shared" si="20"/>
        <v>17664</v>
      </c>
      <c r="J71" s="74">
        <f t="shared" si="20"/>
        <v>18350</v>
      </c>
      <c r="K71" s="74">
        <f t="shared" si="20"/>
        <v>18267</v>
      </c>
      <c r="L71" s="74">
        <f t="shared" si="20"/>
        <v>19310</v>
      </c>
      <c r="M71" s="74">
        <f t="shared" si="20"/>
        <v>20166</v>
      </c>
      <c r="N71" s="74">
        <f t="shared" si="20"/>
        <v>26185</v>
      </c>
      <c r="O71" s="74">
        <f t="shared" si="20"/>
        <v>30616</v>
      </c>
      <c r="P71" s="101">
        <f t="shared" si="20"/>
        <v>33488</v>
      </c>
      <c r="Q71" s="74">
        <f t="shared" si="20"/>
        <v>37451</v>
      </c>
      <c r="R71" s="74">
        <f t="shared" si="20"/>
        <v>47352</v>
      </c>
      <c r="S71" s="75">
        <f t="shared" si="20"/>
        <v>52399</v>
      </c>
    </row>
    <row r="72" spans="1:19" ht="12.75">
      <c r="A72" s="57" t="s">
        <v>1</v>
      </c>
      <c r="B72" s="7">
        <v>39692</v>
      </c>
      <c r="C72" s="7">
        <v>37987</v>
      </c>
      <c r="D72" s="7">
        <v>34538</v>
      </c>
      <c r="E72" s="7">
        <v>35738</v>
      </c>
      <c r="F72" s="7">
        <v>36192</v>
      </c>
      <c r="G72" s="7">
        <v>31713</v>
      </c>
      <c r="H72" s="7">
        <v>29916</v>
      </c>
      <c r="I72" s="7">
        <v>29528</v>
      </c>
      <c r="J72" s="7">
        <v>32096</v>
      </c>
      <c r="K72" s="7">
        <v>31637</v>
      </c>
      <c r="L72" s="7">
        <v>33994</v>
      </c>
      <c r="M72" s="7">
        <v>35917</v>
      </c>
      <c r="N72" s="7">
        <v>41265</v>
      </c>
      <c r="O72" s="7">
        <v>46060</v>
      </c>
      <c r="P72" s="7">
        <f>52540</f>
        <v>52540</v>
      </c>
      <c r="Q72" s="7">
        <v>57362</v>
      </c>
      <c r="R72" s="7">
        <v>69339</v>
      </c>
      <c r="S72" s="6">
        <v>75944</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46243</v>
      </c>
      <c r="C74" s="4">
        <v>51262</v>
      </c>
      <c r="D74" s="4">
        <v>50375</v>
      </c>
      <c r="E74" s="4">
        <v>50454</v>
      </c>
      <c r="F74" s="4">
        <v>116624</v>
      </c>
      <c r="G74" s="4">
        <v>124843</v>
      </c>
      <c r="H74" s="4">
        <v>131389</v>
      </c>
      <c r="I74" s="4">
        <v>133533</v>
      </c>
      <c r="J74" s="4">
        <v>137300</v>
      </c>
      <c r="K74" s="4">
        <v>137763</v>
      </c>
      <c r="L74" s="4">
        <v>146122</v>
      </c>
      <c r="M74" s="4">
        <v>159701</v>
      </c>
      <c r="N74" s="4">
        <v>181283</v>
      </c>
      <c r="O74" s="4">
        <v>204514</v>
      </c>
      <c r="P74" s="4">
        <v>231881</v>
      </c>
      <c r="Q74" s="4">
        <v>272227</v>
      </c>
      <c r="R74" s="4">
        <v>365258</v>
      </c>
      <c r="S74" s="3">
        <v>387170</v>
      </c>
    </row>
    <row r="75" ht="12.75"/>
    <row r="76" ht="12.75"/>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pane xSplit="1" ySplit="2" topLeftCell="B59" activePane="bottomRight" state="frozen"/>
      <selection pane="topLeft" activeCell="H29" sqref="H29"/>
      <selection pane="topRight" activeCell="H29" sqref="H29"/>
      <selection pane="bottomLeft" activeCell="H29" sqref="H29"/>
      <selection pane="bottomRight" activeCell="T77" sqref="T77"/>
    </sheetView>
  </sheetViews>
  <sheetFormatPr defaultColWidth="9.140625" defaultRowHeight="15" outlineLevelRow="1"/>
  <cols>
    <col min="1" max="1" width="32.421875" style="2" customWidth="1"/>
    <col min="2" max="9" width="9.140625" style="1" customWidth="1"/>
    <col min="10" max="10" width="11.140625" style="1" bestFit="1" customWidth="1"/>
    <col min="11" max="16384" width="9.140625" style="1" customWidth="1"/>
  </cols>
  <sheetData>
    <row r="1" spans="1:19" ht="12.75">
      <c r="A1" s="21"/>
      <c r="B1" s="482" t="s">
        <v>70</v>
      </c>
      <c r="C1" s="483"/>
      <c r="D1" s="483"/>
      <c r="E1" s="483"/>
      <c r="F1" s="483"/>
      <c r="G1" s="483"/>
      <c r="H1" s="483"/>
      <c r="I1" s="483"/>
      <c r="J1" s="483"/>
      <c r="K1" s="483"/>
      <c r="L1" s="483"/>
      <c r="M1" s="483"/>
      <c r="N1" s="483"/>
      <c r="O1" s="483"/>
      <c r="P1" s="483"/>
      <c r="Q1" s="483"/>
      <c r="R1" s="483"/>
      <c r="S1" s="484"/>
    </row>
    <row r="2" spans="1:19" ht="12.75">
      <c r="A2" s="43"/>
      <c r="B2" s="88">
        <v>1991</v>
      </c>
      <c r="C2" s="88">
        <v>1992</v>
      </c>
      <c r="D2" s="88">
        <v>1993</v>
      </c>
      <c r="E2" s="88">
        <v>1994</v>
      </c>
      <c r="F2" s="88">
        <v>1995</v>
      </c>
      <c r="G2" s="88">
        <v>1996</v>
      </c>
      <c r="H2" s="44">
        <v>1997</v>
      </c>
      <c r="I2" s="44">
        <v>1998</v>
      </c>
      <c r="J2" s="88">
        <v>1999</v>
      </c>
      <c r="K2" s="44">
        <v>2000</v>
      </c>
      <c r="L2" s="44">
        <v>2001</v>
      </c>
      <c r="M2" s="88">
        <v>2002</v>
      </c>
      <c r="N2" s="44">
        <v>2003</v>
      </c>
      <c r="O2" s="44">
        <v>2004</v>
      </c>
      <c r="P2" s="44">
        <v>2005</v>
      </c>
      <c r="Q2" s="44">
        <v>2006</v>
      </c>
      <c r="R2" s="44">
        <v>2007</v>
      </c>
      <c r="S2" s="116">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f>B15-B14</f>
        <v>5194</v>
      </c>
      <c r="C5" s="2">
        <v>2229</v>
      </c>
      <c r="D5" s="2">
        <v>2309</v>
      </c>
      <c r="E5" s="2">
        <v>2297</v>
      </c>
      <c r="F5" s="2">
        <v>2222</v>
      </c>
      <c r="G5" s="2">
        <v>1992</v>
      </c>
      <c r="H5" s="2">
        <v>1931</v>
      </c>
      <c r="I5" s="2">
        <v>2023</v>
      </c>
      <c r="J5" s="2">
        <v>2020</v>
      </c>
      <c r="K5" s="2">
        <v>2278</v>
      </c>
      <c r="L5" s="2">
        <v>2309</v>
      </c>
      <c r="M5" s="2">
        <v>2454</v>
      </c>
      <c r="N5" s="2">
        <v>2745</v>
      </c>
      <c r="O5" s="2">
        <v>2634</v>
      </c>
      <c r="P5" s="2">
        <v>2765</v>
      </c>
      <c r="Q5" s="2">
        <v>2949</v>
      </c>
      <c r="R5" s="2">
        <v>3313</v>
      </c>
      <c r="S5" s="5">
        <v>3399</v>
      </c>
    </row>
    <row r="6" spans="1:19" ht="12.75">
      <c r="A6" s="47" t="s">
        <v>28</v>
      </c>
      <c r="B6" s="2"/>
      <c r="C6" s="2"/>
      <c r="D6" s="2"/>
      <c r="E6" s="2"/>
      <c r="F6" s="2"/>
      <c r="G6" s="2"/>
      <c r="H6" s="2"/>
      <c r="I6" s="2"/>
      <c r="J6" s="2"/>
      <c r="K6" s="2"/>
      <c r="L6" s="2"/>
      <c r="M6" s="2"/>
      <c r="N6" s="2"/>
      <c r="O6" s="2"/>
      <c r="P6" s="2"/>
      <c r="Q6" s="2"/>
      <c r="R6" s="2"/>
      <c r="S6" s="5"/>
    </row>
    <row r="7" spans="1:19" ht="12.75">
      <c r="A7" s="47" t="s">
        <v>27</v>
      </c>
      <c r="B7" s="2">
        <f aca="true" t="shared" si="0" ref="B7:S7">B18</f>
        <v>0</v>
      </c>
      <c r="C7" s="2">
        <f t="shared" si="0"/>
        <v>0</v>
      </c>
      <c r="D7" s="2">
        <f t="shared" si="0"/>
        <v>0</v>
      </c>
      <c r="E7" s="2">
        <f t="shared" si="0"/>
        <v>0</v>
      </c>
      <c r="F7" s="2">
        <f t="shared" si="0"/>
        <v>0</v>
      </c>
      <c r="G7" s="2">
        <f t="shared" si="0"/>
        <v>0</v>
      </c>
      <c r="H7" s="2">
        <f t="shared" si="0"/>
        <v>0</v>
      </c>
      <c r="I7" s="2">
        <f t="shared" si="0"/>
        <v>0</v>
      </c>
      <c r="J7" s="2">
        <f t="shared" si="0"/>
        <v>0</v>
      </c>
      <c r="K7" s="2">
        <f t="shared" si="0"/>
        <v>0</v>
      </c>
      <c r="L7" s="2">
        <f t="shared" si="0"/>
        <v>0</v>
      </c>
      <c r="M7" s="2">
        <f t="shared" si="0"/>
        <v>0</v>
      </c>
      <c r="N7" s="2">
        <f t="shared" si="0"/>
        <v>0</v>
      </c>
      <c r="O7" s="2">
        <f>O18</f>
        <v>0</v>
      </c>
      <c r="P7" s="2">
        <f t="shared" si="0"/>
        <v>0</v>
      </c>
      <c r="Q7" s="2">
        <f t="shared" si="0"/>
        <v>0</v>
      </c>
      <c r="R7" s="2">
        <f t="shared" si="0"/>
        <v>0</v>
      </c>
      <c r="S7" s="5">
        <f t="shared" si="0"/>
        <v>0</v>
      </c>
    </row>
    <row r="8" spans="1:19" ht="12.75">
      <c r="A8" s="47" t="s">
        <v>26</v>
      </c>
      <c r="B8" s="2">
        <f aca="true" t="shared" si="1" ref="B8:S8">B24</f>
        <v>0</v>
      </c>
      <c r="C8" s="2">
        <f t="shared" si="1"/>
        <v>0</v>
      </c>
      <c r="D8" s="2">
        <f t="shared" si="1"/>
        <v>0</v>
      </c>
      <c r="E8" s="2">
        <f t="shared" si="1"/>
        <v>0</v>
      </c>
      <c r="F8" s="2">
        <f t="shared" si="1"/>
        <v>0</v>
      </c>
      <c r="G8" s="2">
        <f t="shared" si="1"/>
        <v>0</v>
      </c>
      <c r="H8" s="2">
        <f t="shared" si="1"/>
        <v>0</v>
      </c>
      <c r="I8" s="2">
        <f t="shared" si="1"/>
        <v>0</v>
      </c>
      <c r="J8" s="2">
        <f t="shared" si="1"/>
        <v>0</v>
      </c>
      <c r="K8" s="2">
        <f t="shared" si="1"/>
        <v>0</v>
      </c>
      <c r="L8" s="2">
        <f t="shared" si="1"/>
        <v>0</v>
      </c>
      <c r="M8" s="2">
        <f t="shared" si="1"/>
        <v>0</v>
      </c>
      <c r="N8" s="2">
        <f t="shared" si="1"/>
        <v>0</v>
      </c>
      <c r="O8" s="2">
        <f>O24</f>
        <v>0</v>
      </c>
      <c r="P8" s="2">
        <f t="shared" si="1"/>
        <v>0</v>
      </c>
      <c r="Q8" s="2">
        <f t="shared" si="1"/>
        <v>0</v>
      </c>
      <c r="R8" s="2">
        <f t="shared" si="1"/>
        <v>0</v>
      </c>
      <c r="S8" s="5">
        <f t="shared" si="1"/>
        <v>0</v>
      </c>
    </row>
    <row r="9" spans="1:19" ht="12.75">
      <c r="A9" s="59" t="s">
        <v>35</v>
      </c>
      <c r="B9" s="78">
        <f aca="true" t="shared" si="2" ref="B9:S9">B36</f>
        <v>0</v>
      </c>
      <c r="C9" s="78">
        <f t="shared" si="2"/>
        <v>1026</v>
      </c>
      <c r="D9" s="78">
        <f t="shared" si="2"/>
        <v>1190</v>
      </c>
      <c r="E9" s="78">
        <f t="shared" si="2"/>
        <v>1353</v>
      </c>
      <c r="F9" s="13">
        <f t="shared" si="2"/>
        <v>1318</v>
      </c>
      <c r="G9" s="13">
        <f t="shared" si="2"/>
        <v>1478</v>
      </c>
      <c r="H9" s="13">
        <f t="shared" si="2"/>
        <v>1499</v>
      </c>
      <c r="I9" s="13">
        <f t="shared" si="2"/>
        <v>1539</v>
      </c>
      <c r="J9" s="13">
        <f t="shared" si="2"/>
        <v>1585</v>
      </c>
      <c r="K9" s="13">
        <f t="shared" si="2"/>
        <v>1577</v>
      </c>
      <c r="L9" s="13">
        <f t="shared" si="2"/>
        <v>0</v>
      </c>
      <c r="M9" s="13">
        <f t="shared" si="2"/>
        <v>0</v>
      </c>
      <c r="N9" s="13">
        <f t="shared" si="2"/>
        <v>0</v>
      </c>
      <c r="O9" s="13">
        <f>O36</f>
        <v>0</v>
      </c>
      <c r="P9" s="13">
        <f t="shared" si="2"/>
        <v>0</v>
      </c>
      <c r="Q9" s="13">
        <f t="shared" si="2"/>
        <v>0</v>
      </c>
      <c r="R9" s="13">
        <f t="shared" si="2"/>
        <v>0</v>
      </c>
      <c r="S9" s="12">
        <f t="shared" si="2"/>
        <v>0</v>
      </c>
    </row>
    <row r="10" spans="1:19" ht="12.75">
      <c r="A10" s="59" t="s">
        <v>43</v>
      </c>
      <c r="B10" s="78">
        <f aca="true" t="shared" si="3" ref="B10:S10">B48</f>
        <v>0</v>
      </c>
      <c r="C10" s="78">
        <f t="shared" si="3"/>
        <v>1671</v>
      </c>
      <c r="D10" s="78">
        <f t="shared" si="3"/>
        <v>1671</v>
      </c>
      <c r="E10" s="78">
        <f t="shared" si="3"/>
        <v>1662</v>
      </c>
      <c r="F10" s="13">
        <f t="shared" si="3"/>
        <v>1666</v>
      </c>
      <c r="G10" s="13">
        <f t="shared" si="3"/>
        <v>1914</v>
      </c>
      <c r="H10" s="13">
        <f t="shared" si="3"/>
        <v>797</v>
      </c>
      <c r="I10" s="13">
        <f t="shared" si="3"/>
        <v>974</v>
      </c>
      <c r="J10" s="13">
        <f t="shared" si="3"/>
        <v>1316</v>
      </c>
      <c r="K10" s="13">
        <f t="shared" si="3"/>
        <v>1208</v>
      </c>
      <c r="L10" s="13">
        <f t="shared" si="3"/>
        <v>0</v>
      </c>
      <c r="M10" s="13">
        <f t="shared" si="3"/>
        <v>0</v>
      </c>
      <c r="N10" s="13">
        <f t="shared" si="3"/>
        <v>0</v>
      </c>
      <c r="O10" s="13">
        <f>O48</f>
        <v>0</v>
      </c>
      <c r="P10" s="13">
        <f t="shared" si="3"/>
        <v>0</v>
      </c>
      <c r="Q10" s="13">
        <f t="shared" si="3"/>
        <v>0</v>
      </c>
      <c r="R10" s="13">
        <f t="shared" si="3"/>
        <v>0</v>
      </c>
      <c r="S10" s="12">
        <f t="shared" si="3"/>
        <v>0</v>
      </c>
    </row>
    <row r="11" spans="1:19" ht="12.75">
      <c r="A11" s="59" t="s">
        <v>44</v>
      </c>
      <c r="B11" s="78">
        <f aca="true" t="shared" si="4" ref="B11:S11">B42</f>
        <v>0</v>
      </c>
      <c r="C11" s="78">
        <f t="shared" si="4"/>
        <v>0</v>
      </c>
      <c r="D11" s="78">
        <f t="shared" si="4"/>
        <v>2</v>
      </c>
      <c r="E11" s="78">
        <f t="shared" si="4"/>
        <v>0</v>
      </c>
      <c r="F11" s="13">
        <f t="shared" si="4"/>
        <v>0</v>
      </c>
      <c r="G11" s="13">
        <f t="shared" si="4"/>
        <v>0</v>
      </c>
      <c r="H11" s="13">
        <f t="shared" si="4"/>
        <v>0</v>
      </c>
      <c r="I11" s="13">
        <f t="shared" si="4"/>
        <v>54</v>
      </c>
      <c r="J11" s="13">
        <f t="shared" si="4"/>
        <v>0</v>
      </c>
      <c r="K11" s="13">
        <f t="shared" si="4"/>
        <v>0</v>
      </c>
      <c r="L11" s="13">
        <f t="shared" si="4"/>
        <v>0</v>
      </c>
      <c r="M11" s="13">
        <f t="shared" si="4"/>
        <v>0</v>
      </c>
      <c r="N11" s="13">
        <f t="shared" si="4"/>
        <v>0</v>
      </c>
      <c r="O11" s="13">
        <f>O42</f>
        <v>0</v>
      </c>
      <c r="P11" s="13">
        <f t="shared" si="4"/>
        <v>0</v>
      </c>
      <c r="Q11" s="13">
        <f t="shared" si="4"/>
        <v>0</v>
      </c>
      <c r="R11" s="13">
        <f t="shared" si="4"/>
        <v>0</v>
      </c>
      <c r="S11" s="12">
        <f t="shared" si="4"/>
        <v>0</v>
      </c>
    </row>
    <row r="12" spans="1:19" ht="12.75">
      <c r="A12" s="47" t="s">
        <v>25</v>
      </c>
      <c r="B12" s="2">
        <f aca="true" t="shared" si="5" ref="B12:S12">B30</f>
        <v>0</v>
      </c>
      <c r="C12" s="2">
        <f t="shared" si="5"/>
        <v>0</v>
      </c>
      <c r="D12" s="2">
        <f t="shared" si="5"/>
        <v>0</v>
      </c>
      <c r="E12" s="2">
        <f t="shared" si="5"/>
        <v>0</v>
      </c>
      <c r="F12" s="2">
        <f t="shared" si="5"/>
        <v>0</v>
      </c>
      <c r="G12" s="2">
        <f t="shared" si="5"/>
        <v>0</v>
      </c>
      <c r="H12" s="2">
        <f t="shared" si="5"/>
        <v>0</v>
      </c>
      <c r="I12" s="2">
        <f t="shared" si="5"/>
        <v>0</v>
      </c>
      <c r="J12" s="2">
        <f t="shared" si="5"/>
        <v>0</v>
      </c>
      <c r="K12" s="2">
        <f t="shared" si="5"/>
        <v>0</v>
      </c>
      <c r="L12" s="2">
        <f t="shared" si="5"/>
        <v>0</v>
      </c>
      <c r="M12" s="2">
        <f t="shared" si="5"/>
        <v>0</v>
      </c>
      <c r="N12" s="2">
        <f t="shared" si="5"/>
        <v>0</v>
      </c>
      <c r="O12" s="2">
        <f>O30</f>
        <v>0</v>
      </c>
      <c r="P12" s="2">
        <f t="shared" si="5"/>
        <v>0</v>
      </c>
      <c r="Q12" s="2">
        <f t="shared" si="5"/>
        <v>0</v>
      </c>
      <c r="R12" s="2">
        <f t="shared" si="5"/>
        <v>0</v>
      </c>
      <c r="S12" s="5">
        <f t="shared" si="5"/>
        <v>0</v>
      </c>
    </row>
    <row r="13" spans="1:19" ht="12.75">
      <c r="A13" s="46" t="s">
        <v>24</v>
      </c>
      <c r="B13" s="42"/>
      <c r="C13" s="42">
        <v>2697</v>
      </c>
      <c r="D13" s="42">
        <v>2900</v>
      </c>
      <c r="E13" s="42">
        <v>3062</v>
      </c>
      <c r="F13" s="42">
        <v>3137</v>
      </c>
      <c r="G13" s="42">
        <v>3446</v>
      </c>
      <c r="H13" s="42">
        <v>2350</v>
      </c>
      <c r="I13" s="42">
        <v>2566</v>
      </c>
      <c r="J13" s="42">
        <v>2973</v>
      </c>
      <c r="K13" s="42">
        <v>2859</v>
      </c>
      <c r="L13" s="42">
        <v>2971</v>
      </c>
      <c r="M13" s="42">
        <v>3216</v>
      </c>
      <c r="N13" s="42">
        <v>3361</v>
      </c>
      <c r="O13" s="42">
        <v>3429</v>
      </c>
      <c r="P13" s="42">
        <v>3721</v>
      </c>
      <c r="Q13" s="42">
        <f>199+3979</f>
        <v>4178</v>
      </c>
      <c r="R13" s="42">
        <f>4125+198</f>
        <v>4323</v>
      </c>
      <c r="S13" s="28">
        <f>4368+198</f>
        <v>4566</v>
      </c>
    </row>
    <row r="14" spans="1:19" ht="12.75">
      <c r="A14" s="47" t="s">
        <v>23</v>
      </c>
      <c r="B14" s="2">
        <f>101-66</f>
        <v>35</v>
      </c>
      <c r="C14" s="2"/>
      <c r="D14" s="2"/>
      <c r="E14" s="2"/>
      <c r="F14" s="2"/>
      <c r="G14" s="2"/>
      <c r="H14" s="2"/>
      <c r="I14" s="2"/>
      <c r="J14" s="2"/>
      <c r="K14" s="2"/>
      <c r="L14" s="2"/>
      <c r="M14" s="2"/>
      <c r="N14" s="2"/>
      <c r="O14" s="2"/>
      <c r="P14" s="2"/>
      <c r="Q14" s="2"/>
      <c r="R14" s="2"/>
      <c r="S14" s="5"/>
    </row>
    <row r="15" spans="1:19" ht="12.75">
      <c r="A15" s="48" t="s">
        <v>22</v>
      </c>
      <c r="B15" s="17">
        <v>5229</v>
      </c>
      <c r="C15" s="17">
        <f>SUM(C13,C5)</f>
        <v>4926</v>
      </c>
      <c r="D15" s="17">
        <f>SUM(D5,D13:D14)</f>
        <v>5209</v>
      </c>
      <c r="E15" s="17">
        <f>SUM(E5,E13:E14)</f>
        <v>5359</v>
      </c>
      <c r="F15" s="17">
        <f>SUM(F13:F14,F5)</f>
        <v>5359</v>
      </c>
      <c r="G15" s="17">
        <f>SUM(G13:G14,G5)</f>
        <v>5438</v>
      </c>
      <c r="H15" s="114">
        <f aca="true" t="shared" si="6" ref="H15:N15">SUM(H5,H13:H14)</f>
        <v>4281</v>
      </c>
      <c r="I15" s="114">
        <f t="shared" si="6"/>
        <v>4589</v>
      </c>
      <c r="J15" s="114">
        <f t="shared" si="6"/>
        <v>4993</v>
      </c>
      <c r="K15" s="114">
        <f t="shared" si="6"/>
        <v>5137</v>
      </c>
      <c r="L15" s="114">
        <f t="shared" si="6"/>
        <v>5280</v>
      </c>
      <c r="M15" s="114">
        <f t="shared" si="6"/>
        <v>5670</v>
      </c>
      <c r="N15" s="114">
        <f t="shared" si="6"/>
        <v>6106</v>
      </c>
      <c r="O15" s="114">
        <f>SUM(O5,O13:O14)</f>
        <v>6063</v>
      </c>
      <c r="P15" s="114">
        <f>SUM(P5,P13)</f>
        <v>6486</v>
      </c>
      <c r="Q15" s="114">
        <f>SUM(Q5,Q13)</f>
        <v>7127</v>
      </c>
      <c r="R15" s="114">
        <f>SUM(R5,R13)</f>
        <v>7636</v>
      </c>
      <c r="S15" s="115">
        <v>7965</v>
      </c>
    </row>
    <row r="16" spans="1:19" ht="12.75">
      <c r="A16" s="5"/>
      <c r="B16" s="42"/>
      <c r="C16" s="42"/>
      <c r="D16" s="42"/>
      <c r="E16" s="42"/>
      <c r="F16" s="42"/>
      <c r="G16" s="42"/>
      <c r="H16" s="42"/>
      <c r="I16" s="42"/>
      <c r="J16" s="42"/>
      <c r="K16" s="42"/>
      <c r="L16" s="42"/>
      <c r="M16" s="42"/>
      <c r="N16" s="42"/>
      <c r="O16" s="42"/>
      <c r="P16" s="42"/>
      <c r="Q16" s="42"/>
      <c r="R16" s="42"/>
      <c r="S16" s="28"/>
    </row>
    <row r="17" spans="1:19" ht="12.75" hidden="1" outlineLevel="1">
      <c r="A17" s="41" t="s">
        <v>21</v>
      </c>
      <c r="B17" s="40"/>
      <c r="C17" s="40"/>
      <c r="D17" s="40"/>
      <c r="E17" s="40"/>
      <c r="F17" s="40"/>
      <c r="G17" s="40"/>
      <c r="H17" s="40"/>
      <c r="I17" s="40"/>
      <c r="J17" s="40"/>
      <c r="K17" s="40"/>
      <c r="L17" s="40"/>
      <c r="M17" s="40"/>
      <c r="N17" s="40"/>
      <c r="O17" s="40"/>
      <c r="P17" s="40"/>
      <c r="Q17" s="40"/>
      <c r="R17" s="40"/>
      <c r="S17" s="39"/>
    </row>
    <row r="18" spans="1:19" ht="12.75" hidden="1" outlineLevel="1">
      <c r="A18" s="47" t="s">
        <v>12</v>
      </c>
      <c r="B18" s="30"/>
      <c r="C18" s="30"/>
      <c r="D18" s="30"/>
      <c r="E18" s="30"/>
      <c r="F18" s="30"/>
      <c r="G18" s="30"/>
      <c r="H18" s="30"/>
      <c r="I18" s="30"/>
      <c r="J18" s="30"/>
      <c r="K18" s="30"/>
      <c r="L18" s="30"/>
      <c r="M18" s="30"/>
      <c r="N18" s="30"/>
      <c r="O18" s="30"/>
      <c r="P18" s="30"/>
      <c r="Q18" s="30"/>
      <c r="R18" s="30"/>
      <c r="S18" s="5"/>
    </row>
    <row r="19" spans="1:19" ht="25.5" hidden="1" outlineLevel="1">
      <c r="A19" s="47" t="s">
        <v>16</v>
      </c>
      <c r="B19" s="30"/>
      <c r="C19" s="30"/>
      <c r="D19" s="30"/>
      <c r="E19" s="30"/>
      <c r="F19" s="30"/>
      <c r="G19" s="30"/>
      <c r="H19" s="30"/>
      <c r="I19" s="30"/>
      <c r="J19" s="30"/>
      <c r="K19" s="30"/>
      <c r="L19" s="30"/>
      <c r="M19" s="30"/>
      <c r="N19" s="30"/>
      <c r="O19" s="30"/>
      <c r="P19" s="30"/>
      <c r="Q19" s="30"/>
      <c r="R19" s="30"/>
      <c r="S19" s="5"/>
    </row>
    <row r="20" spans="1:19" ht="12.75" hidden="1" outlineLevel="1">
      <c r="A20" s="46" t="s">
        <v>20</v>
      </c>
      <c r="B20" s="29">
        <f aca="true" t="shared" si="7" ref="B20:S20">SUM(B18:B19)</f>
        <v>0</v>
      </c>
      <c r="C20" s="29">
        <f t="shared" si="7"/>
        <v>0</v>
      </c>
      <c r="D20" s="29">
        <f t="shared" si="7"/>
        <v>0</v>
      </c>
      <c r="E20" s="29">
        <f t="shared" si="7"/>
        <v>0</v>
      </c>
      <c r="F20" s="29">
        <f t="shared" si="7"/>
        <v>0</v>
      </c>
      <c r="G20" s="29">
        <f t="shared" si="7"/>
        <v>0</v>
      </c>
      <c r="H20" s="29">
        <f t="shared" si="7"/>
        <v>0</v>
      </c>
      <c r="I20" s="29">
        <f t="shared" si="7"/>
        <v>0</v>
      </c>
      <c r="J20" s="29">
        <f t="shared" si="7"/>
        <v>0</v>
      </c>
      <c r="K20" s="29">
        <f t="shared" si="7"/>
        <v>0</v>
      </c>
      <c r="L20" s="29">
        <f t="shared" si="7"/>
        <v>0</v>
      </c>
      <c r="M20" s="29">
        <f t="shared" si="7"/>
        <v>0</v>
      </c>
      <c r="N20" s="29">
        <f t="shared" si="7"/>
        <v>0</v>
      </c>
      <c r="O20" s="29">
        <f>SUM(O18:O19)</f>
        <v>0</v>
      </c>
      <c r="P20" s="29">
        <f t="shared" si="7"/>
        <v>0</v>
      </c>
      <c r="Q20" s="29">
        <f t="shared" si="7"/>
        <v>0</v>
      </c>
      <c r="R20" s="29">
        <f t="shared" si="7"/>
        <v>0</v>
      </c>
      <c r="S20" s="28">
        <f t="shared" si="7"/>
        <v>0</v>
      </c>
    </row>
    <row r="21" spans="1:19" ht="12.75" hidden="1" outlineLevel="1">
      <c r="A21" s="49" t="s">
        <v>14</v>
      </c>
      <c r="B21" s="27"/>
      <c r="C21" s="27"/>
      <c r="D21" s="27"/>
      <c r="E21" s="27"/>
      <c r="F21" s="27"/>
      <c r="G21" s="27"/>
      <c r="H21" s="27"/>
      <c r="I21" s="27"/>
      <c r="J21" s="27"/>
      <c r="K21" s="27"/>
      <c r="L21" s="27"/>
      <c r="M21" s="27"/>
      <c r="N21" s="27"/>
      <c r="O21" s="27"/>
      <c r="P21" s="27"/>
      <c r="Q21" s="27"/>
      <c r="R21" s="27"/>
      <c r="S21" s="26"/>
    </row>
    <row r="22" spans="1:19" ht="12.75" hidden="1" outlineLevel="1">
      <c r="A22" s="5"/>
      <c r="B22" s="42"/>
      <c r="C22" s="42"/>
      <c r="D22" s="42"/>
      <c r="E22" s="42"/>
      <c r="F22" s="42"/>
      <c r="G22" s="42"/>
      <c r="H22" s="42"/>
      <c r="I22" s="42"/>
      <c r="J22" s="42"/>
      <c r="K22" s="42"/>
      <c r="L22" s="42"/>
      <c r="M22" s="42"/>
      <c r="N22" s="42"/>
      <c r="O22" s="42"/>
      <c r="P22" s="42"/>
      <c r="Q22" s="42"/>
      <c r="R22" s="42"/>
      <c r="S22" s="28"/>
    </row>
    <row r="23" spans="1:19" ht="12.75" hidden="1" outlineLevel="1">
      <c r="A23" s="38" t="s">
        <v>19</v>
      </c>
      <c r="B23" s="37"/>
      <c r="C23" s="37"/>
      <c r="D23" s="37"/>
      <c r="E23" s="37"/>
      <c r="F23" s="37"/>
      <c r="G23" s="37"/>
      <c r="H23" s="37"/>
      <c r="I23" s="37"/>
      <c r="J23" s="37"/>
      <c r="K23" s="37"/>
      <c r="L23" s="37"/>
      <c r="M23" s="37"/>
      <c r="N23" s="37"/>
      <c r="O23" s="37"/>
      <c r="P23" s="37"/>
      <c r="Q23" s="37"/>
      <c r="R23" s="37"/>
      <c r="S23" s="36"/>
    </row>
    <row r="24" spans="1:19" ht="12.75" hidden="1" outlineLevel="1">
      <c r="A24" s="47" t="s">
        <v>12</v>
      </c>
      <c r="B24" s="30"/>
      <c r="C24" s="30"/>
      <c r="D24" s="30"/>
      <c r="E24" s="30"/>
      <c r="F24" s="30"/>
      <c r="G24" s="30"/>
      <c r="H24" s="30"/>
      <c r="I24" s="30"/>
      <c r="J24" s="30"/>
      <c r="K24" s="30"/>
      <c r="L24" s="30"/>
      <c r="M24" s="30"/>
      <c r="N24" s="30"/>
      <c r="O24" s="30"/>
      <c r="P24" s="30"/>
      <c r="Q24" s="30"/>
      <c r="R24" s="30"/>
      <c r="S24" s="5"/>
    </row>
    <row r="25" spans="1:19" ht="25.5" hidden="1" outlineLevel="1">
      <c r="A25" s="47" t="s">
        <v>16</v>
      </c>
      <c r="B25" s="30"/>
      <c r="C25" s="30"/>
      <c r="D25" s="30"/>
      <c r="E25" s="30"/>
      <c r="F25" s="30"/>
      <c r="G25" s="30"/>
      <c r="H25" s="30"/>
      <c r="I25" s="30"/>
      <c r="J25" s="30"/>
      <c r="K25" s="30"/>
      <c r="L25" s="30"/>
      <c r="M25" s="30"/>
      <c r="N25" s="30"/>
      <c r="O25" s="30"/>
      <c r="P25" s="30"/>
      <c r="Q25" s="30"/>
      <c r="R25" s="30"/>
      <c r="S25" s="5"/>
    </row>
    <row r="26" spans="1:19" ht="12.75" hidden="1" outlineLevel="1">
      <c r="A26" s="46" t="s">
        <v>18</v>
      </c>
      <c r="B26" s="29">
        <f aca="true" t="shared" si="8" ref="B26:S26">SUM(B24:B25)</f>
        <v>0</v>
      </c>
      <c r="C26" s="29">
        <f t="shared" si="8"/>
        <v>0</v>
      </c>
      <c r="D26" s="29">
        <f t="shared" si="8"/>
        <v>0</v>
      </c>
      <c r="E26" s="29">
        <f t="shared" si="8"/>
        <v>0</v>
      </c>
      <c r="F26" s="29">
        <f t="shared" si="8"/>
        <v>0</v>
      </c>
      <c r="G26" s="29">
        <f t="shared" si="8"/>
        <v>0</v>
      </c>
      <c r="H26" s="29">
        <f t="shared" si="8"/>
        <v>0</v>
      </c>
      <c r="I26" s="29">
        <f t="shared" si="8"/>
        <v>0</v>
      </c>
      <c r="J26" s="29">
        <f t="shared" si="8"/>
        <v>0</v>
      </c>
      <c r="K26" s="29">
        <f t="shared" si="8"/>
        <v>0</v>
      </c>
      <c r="L26" s="29">
        <f t="shared" si="8"/>
        <v>0</v>
      </c>
      <c r="M26" s="29">
        <f t="shared" si="8"/>
        <v>0</v>
      </c>
      <c r="N26" s="29">
        <f t="shared" si="8"/>
        <v>0</v>
      </c>
      <c r="O26" s="29">
        <f>SUM(O24:O25)</f>
        <v>0</v>
      </c>
      <c r="P26" s="29">
        <f t="shared" si="8"/>
        <v>0</v>
      </c>
      <c r="Q26" s="29">
        <f t="shared" si="8"/>
        <v>0</v>
      </c>
      <c r="R26" s="29">
        <f t="shared" si="8"/>
        <v>0</v>
      </c>
      <c r="S26" s="28">
        <f t="shared" si="8"/>
        <v>0</v>
      </c>
    </row>
    <row r="27" spans="1:19" ht="12.75" hidden="1" outlineLevel="1">
      <c r="A27" s="51" t="s">
        <v>14</v>
      </c>
      <c r="B27" s="35"/>
      <c r="C27" s="35"/>
      <c r="D27" s="35"/>
      <c r="E27" s="35"/>
      <c r="F27" s="35"/>
      <c r="G27" s="35"/>
      <c r="H27" s="35"/>
      <c r="I27" s="35"/>
      <c r="J27" s="35"/>
      <c r="K27" s="35"/>
      <c r="L27" s="35"/>
      <c r="M27" s="35"/>
      <c r="N27" s="35"/>
      <c r="O27" s="35"/>
      <c r="P27" s="35"/>
      <c r="Q27" s="35"/>
      <c r="R27" s="35"/>
      <c r="S27" s="34"/>
    </row>
    <row r="28" spans="1:19" ht="12.75" hidden="1" outlineLevel="1">
      <c r="A28" s="5"/>
      <c r="B28" s="42"/>
      <c r="C28" s="42"/>
      <c r="D28" s="42"/>
      <c r="E28" s="42"/>
      <c r="F28" s="42"/>
      <c r="G28" s="42"/>
      <c r="H28" s="42"/>
      <c r="I28" s="42"/>
      <c r="J28" s="42"/>
      <c r="K28" s="42"/>
      <c r="L28" s="42"/>
      <c r="M28" s="42"/>
      <c r="N28" s="42"/>
      <c r="O28" s="42"/>
      <c r="P28" s="42"/>
      <c r="Q28" s="42"/>
      <c r="R28" s="42"/>
      <c r="S28" s="28"/>
    </row>
    <row r="29" spans="1:19" ht="12.75" hidden="1" outlineLevel="1">
      <c r="A29" s="33" t="s">
        <v>17</v>
      </c>
      <c r="B29" s="32"/>
      <c r="C29" s="32"/>
      <c r="D29" s="32"/>
      <c r="E29" s="32"/>
      <c r="F29" s="32"/>
      <c r="G29" s="32"/>
      <c r="H29" s="32"/>
      <c r="I29" s="32"/>
      <c r="J29" s="32"/>
      <c r="K29" s="32"/>
      <c r="L29" s="32"/>
      <c r="M29" s="32"/>
      <c r="N29" s="32"/>
      <c r="O29" s="32"/>
      <c r="P29" s="32"/>
      <c r="Q29" s="32"/>
      <c r="R29" s="32"/>
      <c r="S29" s="31"/>
    </row>
    <row r="30" spans="1:19" ht="12.75" hidden="1" outlineLevel="1">
      <c r="A30" s="47" t="s">
        <v>12</v>
      </c>
      <c r="B30" s="30"/>
      <c r="C30" s="30"/>
      <c r="D30" s="30"/>
      <c r="E30" s="30"/>
      <c r="F30" s="30"/>
      <c r="G30" s="30"/>
      <c r="H30" s="30"/>
      <c r="I30" s="30"/>
      <c r="J30" s="30"/>
      <c r="K30" s="30"/>
      <c r="L30" s="30"/>
      <c r="M30" s="30"/>
      <c r="N30" s="30"/>
      <c r="O30" s="30"/>
      <c r="P30" s="30"/>
      <c r="Q30" s="30"/>
      <c r="R30" s="30"/>
      <c r="S30" s="5"/>
    </row>
    <row r="31" spans="1:19" ht="25.5" hidden="1" outlineLevel="1">
      <c r="A31" s="47" t="s">
        <v>16</v>
      </c>
      <c r="B31" s="30"/>
      <c r="C31" s="30"/>
      <c r="D31" s="30"/>
      <c r="E31" s="30"/>
      <c r="F31" s="30"/>
      <c r="G31" s="30"/>
      <c r="H31" s="30"/>
      <c r="I31" s="30"/>
      <c r="J31" s="30"/>
      <c r="K31" s="30"/>
      <c r="L31" s="30"/>
      <c r="M31" s="30"/>
      <c r="N31" s="30"/>
      <c r="O31" s="30"/>
      <c r="P31" s="30"/>
      <c r="Q31" s="30"/>
      <c r="R31" s="30"/>
      <c r="S31" s="5"/>
    </row>
    <row r="32" spans="1:19" ht="12.75" hidden="1" outlineLevel="1">
      <c r="A32" s="46" t="s">
        <v>15</v>
      </c>
      <c r="B32" s="29">
        <f aca="true" t="shared" si="9" ref="B32:S32">SUM(B30:B31)</f>
        <v>0</v>
      </c>
      <c r="C32" s="29">
        <f t="shared" si="9"/>
        <v>0</v>
      </c>
      <c r="D32" s="29">
        <f t="shared" si="9"/>
        <v>0</v>
      </c>
      <c r="E32" s="29">
        <f t="shared" si="9"/>
        <v>0</v>
      </c>
      <c r="F32" s="29">
        <f t="shared" si="9"/>
        <v>0</v>
      </c>
      <c r="G32" s="29">
        <f t="shared" si="9"/>
        <v>0</v>
      </c>
      <c r="H32" s="29">
        <f t="shared" si="9"/>
        <v>0</v>
      </c>
      <c r="I32" s="29">
        <f t="shared" si="9"/>
        <v>0</v>
      </c>
      <c r="J32" s="29">
        <f t="shared" si="9"/>
        <v>0</v>
      </c>
      <c r="K32" s="29">
        <f t="shared" si="9"/>
        <v>0</v>
      </c>
      <c r="L32" s="29">
        <f t="shared" si="9"/>
        <v>0</v>
      </c>
      <c r="M32" s="29">
        <f t="shared" si="9"/>
        <v>0</v>
      </c>
      <c r="N32" s="29">
        <f t="shared" si="9"/>
        <v>0</v>
      </c>
      <c r="O32" s="29">
        <f>SUM(O30:O31)</f>
        <v>0</v>
      </c>
      <c r="P32" s="29">
        <f t="shared" si="9"/>
        <v>0</v>
      </c>
      <c r="Q32" s="29">
        <f t="shared" si="9"/>
        <v>0</v>
      </c>
      <c r="R32" s="29">
        <f t="shared" si="9"/>
        <v>0</v>
      </c>
      <c r="S32" s="28">
        <f t="shared" si="9"/>
        <v>0</v>
      </c>
    </row>
    <row r="33" spans="1:19" ht="12.75" hidden="1" outlineLevel="1">
      <c r="A33" s="49" t="s">
        <v>14</v>
      </c>
      <c r="B33" s="27"/>
      <c r="C33" s="27"/>
      <c r="D33" s="27"/>
      <c r="E33" s="27"/>
      <c r="F33" s="27"/>
      <c r="G33" s="27"/>
      <c r="H33" s="27"/>
      <c r="I33" s="27"/>
      <c r="J33" s="27"/>
      <c r="K33" s="27"/>
      <c r="L33" s="27"/>
      <c r="M33" s="27"/>
      <c r="N33" s="27"/>
      <c r="O33" s="27"/>
      <c r="P33" s="27"/>
      <c r="Q33" s="27"/>
      <c r="R33" s="27"/>
      <c r="S33" s="26"/>
    </row>
    <row r="34" spans="1:19" ht="12.75" collapsed="1">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c r="C36" s="30">
        <f>27+314+685</f>
        <v>1026</v>
      </c>
      <c r="D36" s="30">
        <f>338+852</f>
        <v>1190</v>
      </c>
      <c r="E36" s="30">
        <f>415+938</f>
        <v>1353</v>
      </c>
      <c r="F36" s="30">
        <f>471+847</f>
        <v>1318</v>
      </c>
      <c r="G36" s="30">
        <f>473+1005</f>
        <v>1478</v>
      </c>
      <c r="H36" s="30">
        <f>1022+477</f>
        <v>1499</v>
      </c>
      <c r="I36" s="30">
        <f>541+998</f>
        <v>1539</v>
      </c>
      <c r="J36" s="30">
        <f>1662-77</f>
        <v>1585</v>
      </c>
      <c r="K36" s="30">
        <f>-74+1651</f>
        <v>1577</v>
      </c>
      <c r="L36" s="30"/>
      <c r="M36" s="30"/>
      <c r="N36" s="30"/>
      <c r="O36" s="30"/>
      <c r="P36" s="30"/>
      <c r="Q36" s="30"/>
      <c r="R36" s="30"/>
      <c r="S36" s="5"/>
    </row>
    <row r="37" spans="1:19" ht="25.5">
      <c r="A37" s="47" t="s">
        <v>16</v>
      </c>
      <c r="B37" s="30"/>
      <c r="C37" s="30">
        <f>30+39+244+104+343</f>
        <v>760</v>
      </c>
      <c r="D37" s="30">
        <f>31+150+597+365+132</f>
        <v>1275</v>
      </c>
      <c r="E37" s="30">
        <f>27+220+179+388+325+60</f>
        <v>1199</v>
      </c>
      <c r="F37" s="30">
        <f>27+130+652+228+544+99</f>
        <v>1680</v>
      </c>
      <c r="G37" s="30">
        <f>37+168+230+6+67</f>
        <v>508</v>
      </c>
      <c r="H37" s="30">
        <f>158+175+25</f>
        <v>358</v>
      </c>
      <c r="I37" s="30">
        <f>145+237+25</f>
        <v>407</v>
      </c>
      <c r="J37" s="30">
        <f>137+7+419+141-5</f>
        <v>699</v>
      </c>
      <c r="K37" s="30">
        <f>329+725+371+86-3</f>
        <v>1508</v>
      </c>
      <c r="L37" s="30"/>
      <c r="M37" s="30"/>
      <c r="N37" s="30"/>
      <c r="O37" s="30"/>
      <c r="P37" s="30"/>
      <c r="Q37" s="30"/>
      <c r="R37" s="30"/>
      <c r="S37" s="5"/>
    </row>
    <row r="38" spans="1:19" ht="12.75">
      <c r="A38" s="46" t="s">
        <v>18</v>
      </c>
      <c r="B38" s="29">
        <f aca="true" t="shared" si="10" ref="B38:S38">SUM(B36:B37)</f>
        <v>0</v>
      </c>
      <c r="C38" s="29">
        <f t="shared" si="10"/>
        <v>1786</v>
      </c>
      <c r="D38" s="29">
        <f t="shared" si="10"/>
        <v>2465</v>
      </c>
      <c r="E38" s="29">
        <f t="shared" si="10"/>
        <v>2552</v>
      </c>
      <c r="F38" s="29">
        <f t="shared" si="10"/>
        <v>2998</v>
      </c>
      <c r="G38" s="29">
        <f t="shared" si="10"/>
        <v>1986</v>
      </c>
      <c r="H38" s="29">
        <f t="shared" si="10"/>
        <v>1857</v>
      </c>
      <c r="I38" s="29">
        <f t="shared" si="10"/>
        <v>1946</v>
      </c>
      <c r="J38" s="29">
        <f t="shared" si="10"/>
        <v>2284</v>
      </c>
      <c r="K38" s="29">
        <f t="shared" si="10"/>
        <v>3085</v>
      </c>
      <c r="L38" s="29">
        <f t="shared" si="10"/>
        <v>0</v>
      </c>
      <c r="M38" s="29">
        <f t="shared" si="10"/>
        <v>0</v>
      </c>
      <c r="N38" s="29">
        <f t="shared" si="10"/>
        <v>0</v>
      </c>
      <c r="O38" s="29">
        <f>SUM(O36:O37)</f>
        <v>0</v>
      </c>
      <c r="P38" s="29">
        <f t="shared" si="10"/>
        <v>0</v>
      </c>
      <c r="Q38" s="29">
        <f t="shared" si="10"/>
        <v>0</v>
      </c>
      <c r="R38" s="29">
        <f t="shared" si="10"/>
        <v>0</v>
      </c>
      <c r="S38" s="28">
        <f t="shared" si="10"/>
        <v>0</v>
      </c>
    </row>
    <row r="39" spans="1:19" ht="12.75">
      <c r="A39" s="51" t="s">
        <v>14</v>
      </c>
      <c r="B39" s="35">
        <f aca="true" t="shared" si="11" ref="B39:S39">B38-B66</f>
        <v>-210</v>
      </c>
      <c r="C39" s="35">
        <f t="shared" si="11"/>
        <v>-327</v>
      </c>
      <c r="D39" s="35">
        <f t="shared" si="11"/>
        <v>865</v>
      </c>
      <c r="E39" s="35">
        <f t="shared" si="11"/>
        <v>590</v>
      </c>
      <c r="F39" s="35">
        <f t="shared" si="11"/>
        <v>446</v>
      </c>
      <c r="G39" s="35">
        <f t="shared" si="11"/>
        <v>-433</v>
      </c>
      <c r="H39" s="35">
        <f t="shared" si="11"/>
        <v>-510</v>
      </c>
      <c r="I39" s="35">
        <f t="shared" si="11"/>
        <v>-701</v>
      </c>
      <c r="J39" s="35">
        <f t="shared" si="11"/>
        <v>-162</v>
      </c>
      <c r="K39" s="35">
        <f t="shared" si="11"/>
        <v>-567</v>
      </c>
      <c r="L39" s="35">
        <f t="shared" si="11"/>
        <v>-2817</v>
      </c>
      <c r="M39" s="35">
        <f t="shared" si="11"/>
        <v>-3138</v>
      </c>
      <c r="N39" s="35">
        <f t="shared" si="11"/>
        <v>-3191</v>
      </c>
      <c r="O39" s="35">
        <f>O38-O66</f>
        <v>-3261</v>
      </c>
      <c r="P39" s="35">
        <f t="shared" si="11"/>
        <v>-3788</v>
      </c>
      <c r="Q39" s="35">
        <f t="shared" si="11"/>
        <v>-4181</v>
      </c>
      <c r="R39" s="35">
        <f t="shared" si="11"/>
        <v>-4071</v>
      </c>
      <c r="S39" s="34">
        <f t="shared" si="11"/>
        <v>-4490</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v>2</v>
      </c>
      <c r="E42" s="30"/>
      <c r="F42" s="30"/>
      <c r="G42" s="30"/>
      <c r="H42" s="30"/>
      <c r="I42" s="30">
        <f>54</f>
        <v>54</v>
      </c>
      <c r="J42" s="30"/>
      <c r="K42" s="30"/>
      <c r="L42" s="30"/>
      <c r="M42" s="30"/>
      <c r="N42" s="30"/>
      <c r="O42" s="30"/>
      <c r="P42" s="30"/>
      <c r="Q42" s="30"/>
      <c r="R42" s="30"/>
      <c r="S42" s="5"/>
    </row>
    <row r="43" spans="1:19" ht="25.5">
      <c r="A43" s="47" t="s">
        <v>16</v>
      </c>
      <c r="B43" s="30">
        <f>97+83+79</f>
        <v>259</v>
      </c>
      <c r="C43" s="30">
        <f>2+82+80+52+14</f>
        <v>230</v>
      </c>
      <c r="D43" s="30">
        <f>34+21+150+202+45+132+1+27</f>
        <v>612</v>
      </c>
      <c r="E43" s="30">
        <f>54+8+125+172+1+25</f>
        <v>385</v>
      </c>
      <c r="F43" s="30">
        <f>102+25+115+233+67+35</f>
        <v>577</v>
      </c>
      <c r="G43" s="30">
        <f>42+224+178+48+19+2+36</f>
        <v>549</v>
      </c>
      <c r="H43" s="30">
        <f>53+23+38+271+166+72+41+53+6</f>
        <v>723</v>
      </c>
      <c r="I43" s="30">
        <f>59+43+5+42+51+5+217+203</f>
        <v>625</v>
      </c>
      <c r="J43" s="30">
        <f>172+6-6+3+451+297</f>
        <v>923</v>
      </c>
      <c r="K43" s="30">
        <f>180-35+24+389+294</f>
        <v>852</v>
      </c>
      <c r="L43" s="30"/>
      <c r="M43" s="30"/>
      <c r="N43" s="30"/>
      <c r="O43" s="30"/>
      <c r="P43" s="30"/>
      <c r="Q43" s="30"/>
      <c r="R43" s="30"/>
      <c r="S43" s="5"/>
    </row>
    <row r="44" spans="1:19" ht="12.75">
      <c r="A44" s="46" t="s">
        <v>18</v>
      </c>
      <c r="B44" s="29">
        <f aca="true" t="shared" si="12" ref="B44:S44">SUM(B42:B43)</f>
        <v>259</v>
      </c>
      <c r="C44" s="29">
        <f t="shared" si="12"/>
        <v>230</v>
      </c>
      <c r="D44" s="29">
        <f t="shared" si="12"/>
        <v>614</v>
      </c>
      <c r="E44" s="29">
        <f t="shared" si="12"/>
        <v>385</v>
      </c>
      <c r="F44" s="29">
        <f t="shared" si="12"/>
        <v>577</v>
      </c>
      <c r="G44" s="29">
        <f t="shared" si="12"/>
        <v>549</v>
      </c>
      <c r="H44" s="29">
        <f t="shared" si="12"/>
        <v>723</v>
      </c>
      <c r="I44" s="29">
        <f t="shared" si="12"/>
        <v>679</v>
      </c>
      <c r="J44" s="29">
        <f t="shared" si="12"/>
        <v>923</v>
      </c>
      <c r="K44" s="29">
        <f t="shared" si="12"/>
        <v>852</v>
      </c>
      <c r="L44" s="29">
        <f t="shared" si="12"/>
        <v>0</v>
      </c>
      <c r="M44" s="29">
        <f t="shared" si="12"/>
        <v>0</v>
      </c>
      <c r="N44" s="29">
        <f t="shared" si="12"/>
        <v>0</v>
      </c>
      <c r="O44" s="29">
        <f>SUM(O42:O43)</f>
        <v>0</v>
      </c>
      <c r="P44" s="29">
        <f t="shared" si="12"/>
        <v>0</v>
      </c>
      <c r="Q44" s="29">
        <f t="shared" si="12"/>
        <v>0</v>
      </c>
      <c r="R44" s="29">
        <f t="shared" si="12"/>
        <v>0</v>
      </c>
      <c r="S44" s="28">
        <f t="shared" si="12"/>
        <v>0</v>
      </c>
    </row>
    <row r="45" spans="1:20" ht="12.75">
      <c r="A45" s="51" t="s">
        <v>14</v>
      </c>
      <c r="B45" s="35">
        <f aca="true" t="shared" si="13" ref="B45:S45">B44-B67</f>
        <v>-393</v>
      </c>
      <c r="C45" s="35">
        <f t="shared" si="13"/>
        <v>-637</v>
      </c>
      <c r="D45" s="35">
        <f t="shared" si="13"/>
        <v>-879</v>
      </c>
      <c r="E45" s="35">
        <f t="shared" si="13"/>
        <v>-1141</v>
      </c>
      <c r="F45" s="35">
        <f t="shared" si="13"/>
        <v>-1351</v>
      </c>
      <c r="G45" s="35">
        <f t="shared" si="13"/>
        <v>-1672</v>
      </c>
      <c r="H45" s="35">
        <f t="shared" si="13"/>
        <v>-2300</v>
      </c>
      <c r="I45" s="35">
        <f t="shared" si="13"/>
        <v>-2757</v>
      </c>
      <c r="J45" s="35">
        <f t="shared" si="13"/>
        <v>-1633</v>
      </c>
      <c r="K45" s="35">
        <f t="shared" si="13"/>
        <v>-1940</v>
      </c>
      <c r="L45" s="35">
        <f t="shared" si="13"/>
        <v>-4042</v>
      </c>
      <c r="M45" s="35">
        <f t="shared" si="13"/>
        <v>-3884</v>
      </c>
      <c r="N45" s="35">
        <f t="shared" si="13"/>
        <v>-4271</v>
      </c>
      <c r="O45" s="35">
        <f>O44-O67</f>
        <v>-4643</v>
      </c>
      <c r="P45" s="35">
        <f t="shared" si="13"/>
        <v>-3396</v>
      </c>
      <c r="Q45" s="35">
        <f t="shared" si="13"/>
        <v>-5283</v>
      </c>
      <c r="R45" s="35">
        <f t="shared" si="13"/>
        <v>-4215</v>
      </c>
      <c r="S45" s="34">
        <f t="shared" si="13"/>
        <v>-6802</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f>166+1505</f>
        <v>1671</v>
      </c>
      <c r="D48" s="2">
        <f>1507+164</f>
        <v>1671</v>
      </c>
      <c r="E48" s="2">
        <f>1500+162</f>
        <v>1662</v>
      </c>
      <c r="F48" s="2">
        <f>1503+163</f>
        <v>1666</v>
      </c>
      <c r="G48" s="2">
        <f>163+1751</f>
        <v>1914</v>
      </c>
      <c r="H48" s="2">
        <f>634+163</f>
        <v>797</v>
      </c>
      <c r="I48" s="2">
        <f>330+481+163</f>
        <v>974</v>
      </c>
      <c r="J48" s="2">
        <v>1316</v>
      </c>
      <c r="K48" s="2">
        <v>1208</v>
      </c>
      <c r="L48" s="2"/>
      <c r="M48" s="2"/>
      <c r="N48" s="2"/>
      <c r="O48" s="2"/>
      <c r="P48" s="2"/>
      <c r="Q48" s="2"/>
      <c r="R48" s="2"/>
      <c r="S48" s="5"/>
    </row>
    <row r="49" spans="1:19" ht="25.5">
      <c r="A49" s="47" t="s">
        <v>16</v>
      </c>
      <c r="B49" s="2">
        <f>120+183</f>
        <v>303</v>
      </c>
      <c r="C49" s="2">
        <f>181</f>
        <v>181</v>
      </c>
      <c r="D49" s="2">
        <f>210+117+13+24+5</f>
        <v>369</v>
      </c>
      <c r="E49" s="2">
        <f>31</f>
        <v>31</v>
      </c>
      <c r="F49" s="2">
        <f>66+579+19</f>
        <v>664</v>
      </c>
      <c r="G49" s="2">
        <f>2+37+697+20+110</f>
        <v>866</v>
      </c>
      <c r="H49" s="2">
        <f>26+896+17+5</f>
        <v>944</v>
      </c>
      <c r="I49" s="2">
        <f>81+2307+11+12+21</f>
        <v>2432</v>
      </c>
      <c r="J49" s="2">
        <f>124+3022+17</f>
        <v>3163</v>
      </c>
      <c r="K49" s="2">
        <f>66+3394+14</f>
        <v>3474</v>
      </c>
      <c r="L49" s="2"/>
      <c r="M49" s="2"/>
      <c r="N49" s="2"/>
      <c r="O49" s="2"/>
      <c r="P49" s="2"/>
      <c r="Q49" s="2"/>
      <c r="R49" s="2"/>
      <c r="S49" s="5"/>
    </row>
    <row r="50" spans="1:19" ht="12.75">
      <c r="A50" s="46" t="s">
        <v>18</v>
      </c>
      <c r="B50" s="29">
        <f aca="true" t="shared" si="14" ref="B50:S50">SUM(B48:B49)</f>
        <v>303</v>
      </c>
      <c r="C50" s="29">
        <f t="shared" si="14"/>
        <v>1852</v>
      </c>
      <c r="D50" s="29">
        <f t="shared" si="14"/>
        <v>2040</v>
      </c>
      <c r="E50" s="29">
        <f t="shared" si="14"/>
        <v>1693</v>
      </c>
      <c r="F50" s="29">
        <f t="shared" si="14"/>
        <v>2330</v>
      </c>
      <c r="G50" s="29">
        <f t="shared" si="14"/>
        <v>2780</v>
      </c>
      <c r="H50" s="29">
        <f t="shared" si="14"/>
        <v>1741</v>
      </c>
      <c r="I50" s="29">
        <f t="shared" si="14"/>
        <v>3406</v>
      </c>
      <c r="J50" s="29">
        <f t="shared" si="14"/>
        <v>4479</v>
      </c>
      <c r="K50" s="29">
        <f t="shared" si="14"/>
        <v>4682</v>
      </c>
      <c r="L50" s="29">
        <f t="shared" si="14"/>
        <v>0</v>
      </c>
      <c r="M50" s="29">
        <f t="shared" si="14"/>
        <v>0</v>
      </c>
      <c r="N50" s="29">
        <f t="shared" si="14"/>
        <v>0</v>
      </c>
      <c r="O50" s="29">
        <f>SUM(O48:O49)</f>
        <v>0</v>
      </c>
      <c r="P50" s="29">
        <f t="shared" si="14"/>
        <v>0</v>
      </c>
      <c r="Q50" s="29">
        <f t="shared" si="14"/>
        <v>0</v>
      </c>
      <c r="R50" s="29">
        <f t="shared" si="14"/>
        <v>0</v>
      </c>
      <c r="S50" s="28">
        <f t="shared" si="14"/>
        <v>0</v>
      </c>
    </row>
    <row r="51" spans="1:19" ht="12.75">
      <c r="A51" s="51" t="s">
        <v>14</v>
      </c>
      <c r="B51" s="35">
        <f>B50-B68</f>
        <v>-1103</v>
      </c>
      <c r="C51" s="35">
        <f>C50-C68+1020</f>
        <v>-62</v>
      </c>
      <c r="D51" s="35">
        <f>D50-D68+115</f>
        <v>65</v>
      </c>
      <c r="E51" s="35">
        <f>E50-E68+116</f>
        <v>-214</v>
      </c>
      <c r="F51" s="35">
        <f>F50-F68+116</f>
        <v>-177</v>
      </c>
      <c r="G51" s="35">
        <f>G50-G68+119</f>
        <v>-616</v>
      </c>
      <c r="H51" s="35">
        <f>H50-H68+127</f>
        <v>-501</v>
      </c>
      <c r="I51" s="35">
        <f>I50-I68+223</f>
        <v>-269</v>
      </c>
      <c r="J51" s="35">
        <f>J50-J68+263</f>
        <v>116</v>
      </c>
      <c r="K51" s="35">
        <f>K50-K68+235</f>
        <v>-198</v>
      </c>
      <c r="L51" s="35">
        <f aca="true" t="shared" si="15" ref="L51:S51">L50-L68</f>
        <v>-5348</v>
      </c>
      <c r="M51" s="35">
        <f t="shared" si="15"/>
        <v>-5760</v>
      </c>
      <c r="N51" s="35">
        <f t="shared" si="15"/>
        <v>-8870</v>
      </c>
      <c r="O51" s="35">
        <f>O50-O68</f>
        <v>-6713</v>
      </c>
      <c r="P51" s="35">
        <f t="shared" si="15"/>
        <v>-7131</v>
      </c>
      <c r="Q51" s="35">
        <f t="shared" si="15"/>
        <v>-6092</v>
      </c>
      <c r="R51" s="35">
        <f t="shared" si="15"/>
        <v>-6481</v>
      </c>
      <c r="S51" s="34">
        <f t="shared" si="15"/>
        <v>-5192</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16" ref="B54:S54">SUM(B18,B24,B30,B36,B42,B48)</f>
        <v>0</v>
      </c>
      <c r="C54" s="66">
        <f t="shared" si="16"/>
        <v>2697</v>
      </c>
      <c r="D54" s="66">
        <f t="shared" si="16"/>
        <v>2863</v>
      </c>
      <c r="E54" s="66">
        <f t="shared" si="16"/>
        <v>3015</v>
      </c>
      <c r="F54" s="66">
        <f t="shared" si="16"/>
        <v>2984</v>
      </c>
      <c r="G54" s="66">
        <f t="shared" si="16"/>
        <v>3392</v>
      </c>
      <c r="H54" s="66">
        <f t="shared" si="16"/>
        <v>2296</v>
      </c>
      <c r="I54" s="66">
        <f t="shared" si="16"/>
        <v>2567</v>
      </c>
      <c r="J54" s="66">
        <f t="shared" si="16"/>
        <v>2901</v>
      </c>
      <c r="K54" s="66">
        <f t="shared" si="16"/>
        <v>2785</v>
      </c>
      <c r="L54" s="66">
        <f t="shared" si="16"/>
        <v>0</v>
      </c>
      <c r="M54" s="66">
        <f t="shared" si="16"/>
        <v>0</v>
      </c>
      <c r="N54" s="66">
        <f t="shared" si="16"/>
        <v>0</v>
      </c>
      <c r="O54" s="66">
        <f>SUM(O18,O24,O30,O36,O42,O48)</f>
        <v>0</v>
      </c>
      <c r="P54" s="66">
        <f t="shared" si="16"/>
        <v>0</v>
      </c>
      <c r="Q54" s="66">
        <f t="shared" si="16"/>
        <v>0</v>
      </c>
      <c r="R54" s="66">
        <f t="shared" si="16"/>
        <v>0</v>
      </c>
      <c r="S54" s="67">
        <f t="shared" si="16"/>
        <v>0</v>
      </c>
    </row>
    <row r="55" spans="1:19" ht="12.75">
      <c r="A55" s="53" t="s">
        <v>11</v>
      </c>
      <c r="B55" s="22">
        <f aca="true" t="shared" si="17" ref="B55:S55">SUM(B19,B25,B31,B37,B43,B49)</f>
        <v>562</v>
      </c>
      <c r="C55" s="22">
        <f t="shared" si="17"/>
        <v>1171</v>
      </c>
      <c r="D55" s="22">
        <f t="shared" si="17"/>
        <v>2256</v>
      </c>
      <c r="E55" s="22">
        <f t="shared" si="17"/>
        <v>1615</v>
      </c>
      <c r="F55" s="22">
        <f t="shared" si="17"/>
        <v>2921</v>
      </c>
      <c r="G55" s="22">
        <f t="shared" si="17"/>
        <v>1923</v>
      </c>
      <c r="H55" s="22">
        <f t="shared" si="17"/>
        <v>2025</v>
      </c>
      <c r="I55" s="22">
        <f t="shared" si="17"/>
        <v>3464</v>
      </c>
      <c r="J55" s="22">
        <f t="shared" si="17"/>
        <v>4785</v>
      </c>
      <c r="K55" s="22">
        <f t="shared" si="17"/>
        <v>5834</v>
      </c>
      <c r="L55" s="22">
        <f t="shared" si="17"/>
        <v>0</v>
      </c>
      <c r="M55" s="22">
        <f t="shared" si="17"/>
        <v>0</v>
      </c>
      <c r="N55" s="22">
        <f t="shared" si="17"/>
        <v>0</v>
      </c>
      <c r="O55" s="22">
        <f>SUM(O19,O25,O31,O37,O43,O49)</f>
        <v>0</v>
      </c>
      <c r="P55" s="22">
        <f t="shared" si="17"/>
        <v>0</v>
      </c>
      <c r="Q55" s="22">
        <f t="shared" si="17"/>
        <v>0</v>
      </c>
      <c r="R55" s="22">
        <f t="shared" si="17"/>
        <v>0</v>
      </c>
      <c r="S55" s="21">
        <f t="shared" si="17"/>
        <v>0</v>
      </c>
    </row>
    <row r="56" spans="1:19" ht="25.5">
      <c r="A56" s="54" t="s">
        <v>10</v>
      </c>
      <c r="B56" s="20">
        <f aca="true" t="shared" si="18" ref="B56:S56">SUM(B20,B26,B32,B38,B44,B50)</f>
        <v>562</v>
      </c>
      <c r="C56" s="20">
        <f t="shared" si="18"/>
        <v>3868</v>
      </c>
      <c r="D56" s="20">
        <f t="shared" si="18"/>
        <v>5119</v>
      </c>
      <c r="E56" s="20">
        <f t="shared" si="18"/>
        <v>4630</v>
      </c>
      <c r="F56" s="20">
        <f t="shared" si="18"/>
        <v>5905</v>
      </c>
      <c r="G56" s="20">
        <f t="shared" si="18"/>
        <v>5315</v>
      </c>
      <c r="H56" s="20">
        <f t="shared" si="18"/>
        <v>4321</v>
      </c>
      <c r="I56" s="20">
        <f t="shared" si="18"/>
        <v>6031</v>
      </c>
      <c r="J56" s="20">
        <f t="shared" si="18"/>
        <v>7686</v>
      </c>
      <c r="K56" s="20">
        <f t="shared" si="18"/>
        <v>8619</v>
      </c>
      <c r="L56" s="20">
        <f t="shared" si="18"/>
        <v>0</v>
      </c>
      <c r="M56" s="20">
        <f t="shared" si="18"/>
        <v>0</v>
      </c>
      <c r="N56" s="20">
        <f t="shared" si="18"/>
        <v>0</v>
      </c>
      <c r="O56" s="20">
        <f>SUM(O20,O26,O32,O38,O44,O50)</f>
        <v>0</v>
      </c>
      <c r="P56" s="20">
        <f t="shared" si="18"/>
        <v>0</v>
      </c>
      <c r="Q56" s="20">
        <f t="shared" si="18"/>
        <v>0</v>
      </c>
      <c r="R56" s="20">
        <f t="shared" si="18"/>
        <v>0</v>
      </c>
      <c r="S56" s="19">
        <f t="shared" si="18"/>
        <v>0</v>
      </c>
    </row>
    <row r="57" spans="1:19" ht="12.75">
      <c r="A57" s="55" t="s">
        <v>9</v>
      </c>
      <c r="B57" s="71">
        <f aca="true" t="shared" si="19" ref="B57:S57">SUM(B21,B27,B33,B39,B45,B51)</f>
        <v>-1706</v>
      </c>
      <c r="C57" s="71">
        <f t="shared" si="19"/>
        <v>-1026</v>
      </c>
      <c r="D57" s="71">
        <f t="shared" si="19"/>
        <v>51</v>
      </c>
      <c r="E57" s="71">
        <f t="shared" si="19"/>
        <v>-765</v>
      </c>
      <c r="F57" s="71">
        <f t="shared" si="19"/>
        <v>-1082</v>
      </c>
      <c r="G57" s="71">
        <f t="shared" si="19"/>
        <v>-2721</v>
      </c>
      <c r="H57" s="71">
        <f t="shared" si="19"/>
        <v>-3311</v>
      </c>
      <c r="I57" s="71">
        <f t="shared" si="19"/>
        <v>-3727</v>
      </c>
      <c r="J57" s="71">
        <f t="shared" si="19"/>
        <v>-1679</v>
      </c>
      <c r="K57" s="71">
        <f t="shared" si="19"/>
        <v>-2705</v>
      </c>
      <c r="L57" s="71">
        <f t="shared" si="19"/>
        <v>-12207</v>
      </c>
      <c r="M57" s="71">
        <f t="shared" si="19"/>
        <v>-12782</v>
      </c>
      <c r="N57" s="71">
        <f t="shared" si="19"/>
        <v>-16332</v>
      </c>
      <c r="O57" s="71">
        <f>SUM(O21,O27,O33,O39,O45,O51)</f>
        <v>-14617</v>
      </c>
      <c r="P57" s="71">
        <f t="shared" si="19"/>
        <v>-14315</v>
      </c>
      <c r="Q57" s="71">
        <f t="shared" si="19"/>
        <v>-15556</v>
      </c>
      <c r="R57" s="71">
        <f t="shared" si="19"/>
        <v>-14767</v>
      </c>
      <c r="S57" s="18">
        <f t="shared" si="19"/>
        <v>-16484</v>
      </c>
    </row>
    <row r="58" spans="1:19" ht="12.75">
      <c r="A58" s="56" t="s">
        <v>8</v>
      </c>
      <c r="B58" s="17">
        <f aca="true" t="shared" si="20" ref="B58:S58">B59-B55-B15</f>
        <v>10033</v>
      </c>
      <c r="C58" s="17">
        <f t="shared" si="20"/>
        <v>8846</v>
      </c>
      <c r="D58" s="17">
        <f t="shared" si="20"/>
        <v>75211</v>
      </c>
      <c r="E58" s="17">
        <f t="shared" si="20"/>
        <v>76604</v>
      </c>
      <c r="F58" s="17">
        <f t="shared" si="20"/>
        <v>78196</v>
      </c>
      <c r="G58" s="17">
        <f t="shared" si="20"/>
        <v>78034</v>
      </c>
      <c r="H58" s="17">
        <f t="shared" si="20"/>
        <v>76672</v>
      </c>
      <c r="I58" s="17">
        <f t="shared" si="20"/>
        <v>34759</v>
      </c>
      <c r="J58" s="17">
        <f t="shared" si="20"/>
        <v>31071</v>
      </c>
      <c r="K58" s="17">
        <f t="shared" si="20"/>
        <v>21330</v>
      </c>
      <c r="L58" s="17">
        <f t="shared" si="20"/>
        <v>20559</v>
      </c>
      <c r="M58" s="17">
        <f t="shared" si="20"/>
        <v>22710</v>
      </c>
      <c r="N58" s="17">
        <f t="shared" si="20"/>
        <v>27195</v>
      </c>
      <c r="O58" s="17">
        <f>O59-O55-O15</f>
        <v>24772</v>
      </c>
      <c r="P58" s="17">
        <f t="shared" si="20"/>
        <v>24235</v>
      </c>
      <c r="Q58" s="17">
        <f t="shared" si="20"/>
        <v>26786</v>
      </c>
      <c r="R58" s="17">
        <f t="shared" si="20"/>
        <v>23117</v>
      </c>
      <c r="S58" s="16">
        <f t="shared" si="20"/>
        <v>23701</v>
      </c>
    </row>
    <row r="59" spans="1:19" ht="12.75">
      <c r="A59" s="57" t="s">
        <v>7</v>
      </c>
      <c r="B59" s="7">
        <v>15824</v>
      </c>
      <c r="C59" s="7">
        <v>14943</v>
      </c>
      <c r="D59" s="7">
        <v>82676</v>
      </c>
      <c r="E59" s="7">
        <v>83578</v>
      </c>
      <c r="F59" s="7">
        <v>86476</v>
      </c>
      <c r="G59" s="7">
        <v>85395</v>
      </c>
      <c r="H59" s="7">
        <v>82978</v>
      </c>
      <c r="I59" s="7">
        <v>42812</v>
      </c>
      <c r="J59" s="7">
        <v>40849</v>
      </c>
      <c r="K59" s="7">
        <v>32301</v>
      </c>
      <c r="L59" s="133">
        <v>25839</v>
      </c>
      <c r="M59" s="133">
        <v>28380</v>
      </c>
      <c r="N59" s="7">
        <v>33301</v>
      </c>
      <c r="O59" s="7">
        <v>30835</v>
      </c>
      <c r="P59" s="7">
        <v>30721</v>
      </c>
      <c r="Q59" s="7">
        <v>33913</v>
      </c>
      <c r="R59" s="7">
        <v>30753</v>
      </c>
      <c r="S59" s="6">
        <v>31666</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89">
        <f>67+34</f>
        <v>101</v>
      </c>
      <c r="C62" s="2">
        <f>90+228</f>
        <v>318</v>
      </c>
      <c r="D62" s="2">
        <f>308</f>
        <v>308</v>
      </c>
      <c r="E62" s="2">
        <v>91</v>
      </c>
      <c r="F62" s="2">
        <v>89</v>
      </c>
      <c r="G62" s="2">
        <f>77</f>
        <v>77</v>
      </c>
      <c r="H62" s="2">
        <v>58</v>
      </c>
      <c r="I62" s="2">
        <f>48</f>
        <v>48</v>
      </c>
      <c r="J62" s="2">
        <f>186+92</f>
        <v>278</v>
      </c>
      <c r="K62" s="2">
        <f>129+83</f>
        <v>212</v>
      </c>
      <c r="L62" s="2">
        <f>369</f>
        <v>369</v>
      </c>
      <c r="M62" s="2">
        <f>336</f>
        <v>336</v>
      </c>
      <c r="N62" s="2">
        <v>473</v>
      </c>
      <c r="O62" s="2">
        <f>525</f>
        <v>525</v>
      </c>
      <c r="P62" s="2">
        <f>484</f>
        <v>484</v>
      </c>
      <c r="Q62" s="2">
        <v>585</v>
      </c>
      <c r="R62" s="2">
        <f>33+33+550</f>
        <v>616</v>
      </c>
      <c r="S62" s="5">
        <f>36+36+701+151+36</f>
        <v>960</v>
      </c>
    </row>
    <row r="63" spans="1:19" ht="12.75">
      <c r="A63" s="58" t="s">
        <v>37</v>
      </c>
      <c r="B63" s="15">
        <f>270</f>
        <v>270</v>
      </c>
      <c r="C63" s="15">
        <v>828</v>
      </c>
      <c r="D63" s="15">
        <v>1408</v>
      </c>
      <c r="E63" s="15">
        <v>809</v>
      </c>
      <c r="F63" s="15">
        <f>835</f>
        <v>835</v>
      </c>
      <c r="G63" s="15">
        <f>700</f>
        <v>700</v>
      </c>
      <c r="H63" s="15">
        <v>732</v>
      </c>
      <c r="I63" s="15">
        <f>790</f>
        <v>790</v>
      </c>
      <c r="J63" s="15">
        <v>734</v>
      </c>
      <c r="K63" s="15">
        <v>795</v>
      </c>
      <c r="L63" s="15"/>
      <c r="M63" s="15"/>
      <c r="N63" s="15"/>
      <c r="O63" s="15"/>
      <c r="P63" s="15"/>
      <c r="Q63" s="15"/>
      <c r="R63" s="15"/>
      <c r="S63" s="14"/>
    </row>
    <row r="64" spans="1:19" ht="25.5" hidden="1" outlineLevel="1">
      <c r="A64" s="118" t="s">
        <v>52</v>
      </c>
      <c r="B64" s="119"/>
      <c r="C64" s="119"/>
      <c r="D64" s="119"/>
      <c r="E64" s="119"/>
      <c r="F64" s="119"/>
      <c r="G64" s="119"/>
      <c r="H64" s="119"/>
      <c r="I64" s="119"/>
      <c r="J64" s="119"/>
      <c r="K64" s="119"/>
      <c r="L64" s="119"/>
      <c r="M64" s="119"/>
      <c r="N64" s="119"/>
      <c r="O64" s="119"/>
      <c r="P64" s="119"/>
      <c r="Q64" s="119"/>
      <c r="R64" s="119"/>
      <c r="S64" s="122"/>
    </row>
    <row r="65" spans="1:19" ht="12.75" customHeight="1" hidden="1" outlineLevel="1">
      <c r="A65" s="60" t="s">
        <v>5</v>
      </c>
      <c r="B65" s="11"/>
      <c r="C65" s="11"/>
      <c r="D65" s="11"/>
      <c r="E65" s="11"/>
      <c r="F65" s="11"/>
      <c r="G65" s="11"/>
      <c r="H65" s="11"/>
      <c r="I65" s="11"/>
      <c r="J65" s="11"/>
      <c r="K65" s="11"/>
      <c r="L65" s="11"/>
      <c r="M65" s="11"/>
      <c r="N65" s="11"/>
      <c r="O65" s="11"/>
      <c r="P65" s="11"/>
      <c r="Q65" s="11"/>
      <c r="R65" s="11"/>
      <c r="S65" s="10"/>
    </row>
    <row r="66" spans="1:19" ht="12.75" collapsed="1">
      <c r="A66" s="118" t="s">
        <v>42</v>
      </c>
      <c r="B66" s="119">
        <f>129+81</f>
        <v>210</v>
      </c>
      <c r="C66" s="119">
        <f>87+356+103+1567</f>
        <v>2113</v>
      </c>
      <c r="D66" s="119">
        <v>1600</v>
      </c>
      <c r="E66" s="119">
        <f>1962</f>
        <v>1962</v>
      </c>
      <c r="F66" s="119">
        <v>2552</v>
      </c>
      <c r="G66" s="119">
        <f>2419</f>
        <v>2419</v>
      </c>
      <c r="H66" s="119">
        <f>2494-127</f>
        <v>2367</v>
      </c>
      <c r="I66" s="119">
        <f>2068+579</f>
        <v>2647</v>
      </c>
      <c r="J66" s="119">
        <f>2709-263</f>
        <v>2446</v>
      </c>
      <c r="K66" s="119">
        <f>3887-235</f>
        <v>3652</v>
      </c>
      <c r="L66" s="119">
        <f>2817</f>
        <v>2817</v>
      </c>
      <c r="M66" s="119">
        <f>3138</f>
        <v>3138</v>
      </c>
      <c r="N66" s="119">
        <f>3191</f>
        <v>3191</v>
      </c>
      <c r="O66" s="119">
        <f>3261</f>
        <v>3261</v>
      </c>
      <c r="P66" s="119">
        <f>3788</f>
        <v>3788</v>
      </c>
      <c r="Q66" s="119">
        <f>4181</f>
        <v>4181</v>
      </c>
      <c r="R66" s="119">
        <f>3411+660</f>
        <v>4071</v>
      </c>
      <c r="S66" s="122">
        <f>878+3392+220</f>
        <v>4490</v>
      </c>
    </row>
    <row r="67" spans="1:19" ht="13.5" customHeight="1">
      <c r="A67" s="117" t="s">
        <v>50</v>
      </c>
      <c r="B67" s="125">
        <f>151+109+184+208</f>
        <v>652</v>
      </c>
      <c r="C67" s="120">
        <f>202+207+381+77</f>
        <v>867</v>
      </c>
      <c r="D67" s="120">
        <f>180+1313</f>
        <v>1493</v>
      </c>
      <c r="E67" s="120">
        <f>193+73+1260</f>
        <v>1526</v>
      </c>
      <c r="F67" s="120">
        <f>1293+165+470</f>
        <v>1928</v>
      </c>
      <c r="G67" s="120">
        <f>136+537+1548</f>
        <v>2221</v>
      </c>
      <c r="H67" s="120">
        <f>721+36+562+635+473+320+137+139</f>
        <v>3023</v>
      </c>
      <c r="I67" s="120">
        <f>677+163+344+147+720+169+510+706</f>
        <v>3436</v>
      </c>
      <c r="J67" s="120">
        <f>1317-216-80+26+431+534+544</f>
        <v>2556</v>
      </c>
      <c r="K67" s="120">
        <f>1369-63-183+484+97+502+586</f>
        <v>2792</v>
      </c>
      <c r="L67" s="125">
        <f>552+582+1487+1421</f>
        <v>4042</v>
      </c>
      <c r="M67" s="125">
        <f>1552+714+607+1011</f>
        <v>3884</v>
      </c>
      <c r="N67" s="120">
        <f>1714+1281+630+646</f>
        <v>4271</v>
      </c>
      <c r="O67" s="120">
        <f>1856+1436+576+775</f>
        <v>4643</v>
      </c>
      <c r="P67" s="120">
        <f>2016+1380</f>
        <v>3396</v>
      </c>
      <c r="Q67" s="120">
        <f>2004+1637+760+882</f>
        <v>5283</v>
      </c>
      <c r="R67" s="120">
        <f>281+172+65+308+99+1389+706+172+62+43+143+65+169+110+43+36+65+172+115</f>
        <v>4215</v>
      </c>
      <c r="S67" s="123">
        <f>1537+98+45+427+80+36+196+25+186+429+186+697+82+54+259+129+197+223+54+121+74+186+116+1+8+130+63+75+708+186+194</f>
        <v>6802</v>
      </c>
    </row>
    <row r="68" spans="1:19" ht="12.75">
      <c r="A68" s="117" t="s">
        <v>41</v>
      </c>
      <c r="B68" s="119">
        <f>1223+183</f>
        <v>1406</v>
      </c>
      <c r="C68" s="119">
        <f>178+1736+1020</f>
        <v>2934</v>
      </c>
      <c r="D68" s="119">
        <v>2090</v>
      </c>
      <c r="E68" s="119">
        <f>2023</f>
        <v>2023</v>
      </c>
      <c r="F68" s="119">
        <v>2623</v>
      </c>
      <c r="G68" s="119">
        <f>3515</f>
        <v>3515</v>
      </c>
      <c r="H68" s="119">
        <f>127+2242</f>
        <v>2369</v>
      </c>
      <c r="I68" s="119">
        <f>223+3675</f>
        <v>3898</v>
      </c>
      <c r="J68" s="119">
        <f>263+4363</f>
        <v>4626</v>
      </c>
      <c r="K68" s="119">
        <f>235+4880</f>
        <v>5115</v>
      </c>
      <c r="L68" s="119">
        <f>5348</f>
        <v>5348</v>
      </c>
      <c r="M68" s="119">
        <f>5760</f>
        <v>5760</v>
      </c>
      <c r="N68" s="119">
        <f>8870</f>
        <v>8870</v>
      </c>
      <c r="O68" s="119">
        <f>6713</f>
        <v>6713</v>
      </c>
      <c r="P68" s="119">
        <v>7131</v>
      </c>
      <c r="Q68" s="119">
        <f>5893+199</f>
        <v>6092</v>
      </c>
      <c r="R68" s="119">
        <f>198+586+423+25+3325+596+382+126+43+299+92+159+172+55</f>
        <v>6481</v>
      </c>
      <c r="S68" s="122">
        <f>25+376+472+24+2673+515+909+198</f>
        <v>5192</v>
      </c>
    </row>
    <row r="69" spans="1:19" ht="51">
      <c r="A69" s="61" t="s">
        <v>4</v>
      </c>
      <c r="B69" s="9">
        <f>B71</f>
        <v>12435</v>
      </c>
      <c r="C69" s="9">
        <f>C71</f>
        <v>3459</v>
      </c>
      <c r="D69" s="9">
        <f>6993+1827-SUM(D62:D68)</f>
        <v>1921</v>
      </c>
      <c r="E69" s="9">
        <f>7565+1733-SUM(E62:E68)</f>
        <v>2887</v>
      </c>
      <c r="F69" s="9">
        <f>8401+1243-SUM(F62:F68)</f>
        <v>1617</v>
      </c>
      <c r="G69" s="9">
        <f>1286+9399-SUM(G62:G68)</f>
        <v>1753</v>
      </c>
      <c r="H69" s="9">
        <f>9876-SUM(H62:H68)</f>
        <v>1327</v>
      </c>
      <c r="I69" s="9">
        <f>12810-SUM(I62:I68)</f>
        <v>1991</v>
      </c>
      <c r="J69" s="9">
        <f>12551-SUM(J62:J68)</f>
        <v>1911</v>
      </c>
      <c r="K69" s="9">
        <f>14419-SUM(K62:K68)</f>
        <v>1853</v>
      </c>
      <c r="L69" s="100">
        <f>13715-SUM(L62:L68)</f>
        <v>1139</v>
      </c>
      <c r="M69" s="100">
        <f>14404-SUM(M62:M68)</f>
        <v>1286</v>
      </c>
      <c r="N69" s="9">
        <f>18166-SUM(N62:N68)</f>
        <v>1361</v>
      </c>
      <c r="O69" s="9">
        <f>16695-SUM(O62:O68)</f>
        <v>1553</v>
      </c>
      <c r="P69" s="9">
        <f>18012-SUM(P62:P68)</f>
        <v>3213</v>
      </c>
      <c r="Q69" s="9">
        <f>17552-SUM(Q62:Q68)</f>
        <v>1411</v>
      </c>
      <c r="R69" s="9">
        <f>17297-SUM(R62:R68)</f>
        <v>1914</v>
      </c>
      <c r="S69" s="8">
        <f>18728-SUM(S62:S68)</f>
        <v>1284</v>
      </c>
    </row>
    <row r="70" spans="1:19" ht="25.5">
      <c r="A70" s="61" t="s">
        <v>3</v>
      </c>
      <c r="B70" s="9">
        <v>0</v>
      </c>
      <c r="C70" s="9">
        <v>0</v>
      </c>
      <c r="D70" s="9">
        <f>D72-6993-1827</f>
        <v>69648</v>
      </c>
      <c r="E70" s="9">
        <f>68539</f>
        <v>68539</v>
      </c>
      <c r="F70" s="9">
        <v>68833</v>
      </c>
      <c r="G70" s="9">
        <f>71245</f>
        <v>71245</v>
      </c>
      <c r="H70" s="9">
        <f>H72-9876</f>
        <v>71784</v>
      </c>
      <c r="I70" s="9">
        <f>I72-12810</f>
        <v>29950</v>
      </c>
      <c r="J70" s="9">
        <f>J72-12551</f>
        <v>27102</v>
      </c>
      <c r="K70" s="9">
        <f>K72-14419</f>
        <v>16199</v>
      </c>
      <c r="L70" s="100">
        <f>L72-13715</f>
        <v>9363</v>
      </c>
      <c r="M70" s="100">
        <f>M72-14404</f>
        <v>10236</v>
      </c>
      <c r="N70" s="9">
        <f>N72-18166</f>
        <v>10835</v>
      </c>
      <c r="O70" s="9">
        <f>O72-16695</f>
        <v>11839</v>
      </c>
      <c r="P70" s="9">
        <f>P72-18012</f>
        <v>10678</v>
      </c>
      <c r="Q70" s="9">
        <f>Q72-17552</f>
        <v>11238</v>
      </c>
      <c r="R70" s="9">
        <f>R72-17297</f>
        <v>11562</v>
      </c>
      <c r="S70" s="8">
        <f>S72-18728</f>
        <v>11327</v>
      </c>
    </row>
    <row r="71" spans="1:19" ht="63.75">
      <c r="A71" s="47" t="s">
        <v>2</v>
      </c>
      <c r="B71" s="74">
        <f aca="true" t="shared" si="21" ref="B71:S71">B72-SUM(B62:B68)</f>
        <v>12435</v>
      </c>
      <c r="C71" s="74">
        <f t="shared" si="21"/>
        <v>3459</v>
      </c>
      <c r="D71" s="74">
        <f t="shared" si="21"/>
        <v>71569</v>
      </c>
      <c r="E71" s="74">
        <f t="shared" si="21"/>
        <v>71426</v>
      </c>
      <c r="F71" s="74">
        <f t="shared" si="21"/>
        <v>70450</v>
      </c>
      <c r="G71" s="74">
        <f t="shared" si="21"/>
        <v>72998</v>
      </c>
      <c r="H71" s="74">
        <f t="shared" si="21"/>
        <v>73111</v>
      </c>
      <c r="I71" s="74">
        <f t="shared" si="21"/>
        <v>31941</v>
      </c>
      <c r="J71" s="74">
        <f t="shared" si="21"/>
        <v>29013</v>
      </c>
      <c r="K71" s="74">
        <f t="shared" si="21"/>
        <v>18052</v>
      </c>
      <c r="L71" s="101">
        <f t="shared" si="21"/>
        <v>10502</v>
      </c>
      <c r="M71" s="101">
        <f t="shared" si="21"/>
        <v>11522</v>
      </c>
      <c r="N71" s="74">
        <f t="shared" si="21"/>
        <v>12196</v>
      </c>
      <c r="O71" s="74">
        <f>O72-SUM(O62:O68)</f>
        <v>13392</v>
      </c>
      <c r="P71" s="74">
        <f t="shared" si="21"/>
        <v>13891</v>
      </c>
      <c r="Q71" s="74">
        <f t="shared" si="21"/>
        <v>12649</v>
      </c>
      <c r="R71" s="74">
        <f t="shared" si="21"/>
        <v>13476</v>
      </c>
      <c r="S71" s="75">
        <f t="shared" si="21"/>
        <v>12611</v>
      </c>
    </row>
    <row r="72" spans="1:19" ht="12.75">
      <c r="A72" s="57" t="s">
        <v>1</v>
      </c>
      <c r="B72" s="7">
        <v>15074</v>
      </c>
      <c r="C72" s="7">
        <f>8381+2138</f>
        <v>10519</v>
      </c>
      <c r="D72" s="7">
        <f>6993+71475</f>
        <v>78468</v>
      </c>
      <c r="E72" s="7">
        <f>7565+70272</f>
        <v>77837</v>
      </c>
      <c r="F72" s="7">
        <f>8401+70076</f>
        <v>78477</v>
      </c>
      <c r="G72" s="7">
        <f>9399+72531</f>
        <v>81930</v>
      </c>
      <c r="H72" s="7">
        <v>81660</v>
      </c>
      <c r="I72" s="7">
        <v>42760</v>
      </c>
      <c r="J72" s="7">
        <v>39653</v>
      </c>
      <c r="K72" s="7">
        <v>30618</v>
      </c>
      <c r="L72" s="133">
        <v>23078</v>
      </c>
      <c r="M72" s="133">
        <v>24640</v>
      </c>
      <c r="N72" s="7">
        <v>29001</v>
      </c>
      <c r="O72" s="7">
        <v>28534</v>
      </c>
      <c r="P72" s="7">
        <v>28690</v>
      </c>
      <c r="Q72" s="7">
        <v>28790</v>
      </c>
      <c r="R72" s="7">
        <v>28859</v>
      </c>
      <c r="S72" s="6">
        <v>30055</v>
      </c>
    </row>
    <row r="73" spans="1:19" ht="12.75">
      <c r="A73" s="47"/>
      <c r="B73" s="2"/>
      <c r="C73" s="2"/>
      <c r="D73" s="2"/>
      <c r="E73" s="2"/>
      <c r="F73" s="2"/>
      <c r="G73" s="2"/>
      <c r="H73" s="2"/>
      <c r="I73" s="2"/>
      <c r="J73" s="2"/>
      <c r="K73" s="2"/>
      <c r="L73" s="86"/>
      <c r="M73" s="86"/>
      <c r="N73" s="2"/>
      <c r="O73" s="2"/>
      <c r="P73" s="2"/>
      <c r="Q73" s="2"/>
      <c r="R73" s="2"/>
      <c r="S73" s="5"/>
    </row>
    <row r="74" spans="1:19" ht="12.75">
      <c r="A74" s="62" t="s">
        <v>0</v>
      </c>
      <c r="B74" s="4">
        <v>47223</v>
      </c>
      <c r="C74" s="4">
        <v>43775</v>
      </c>
      <c r="D74" s="4">
        <v>59789</v>
      </c>
      <c r="E74" s="4">
        <v>63324</v>
      </c>
      <c r="F74" s="4">
        <v>56208</v>
      </c>
      <c r="G74" s="4">
        <v>80946</v>
      </c>
      <c r="H74" s="4">
        <v>82046</v>
      </c>
      <c r="I74" s="4">
        <v>81490</v>
      </c>
      <c r="J74" s="4">
        <v>77567</v>
      </c>
      <c r="K74" s="4">
        <v>77693</v>
      </c>
      <c r="L74" s="134">
        <v>77357</v>
      </c>
      <c r="M74" s="134">
        <v>78244</v>
      </c>
      <c r="N74" s="4">
        <v>80707</v>
      </c>
      <c r="O74" s="4">
        <v>81462</v>
      </c>
      <c r="P74" s="4">
        <v>82050</v>
      </c>
      <c r="Q74" s="4">
        <v>85793</v>
      </c>
      <c r="R74" s="4">
        <v>86005</v>
      </c>
      <c r="S74" s="3">
        <v>86010</v>
      </c>
    </row>
    <row r="75" ht="12.75"/>
    <row r="76" ht="12.75"/>
    <row r="77" ht="12.75"/>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T74"/>
  <sheetViews>
    <sheetView zoomScale="75" zoomScaleNormal="75" zoomScalePageLayoutView="0" workbookViewId="0" topLeftCell="A1">
      <pane xSplit="1" ySplit="2" topLeftCell="D3" activePane="bottomRight" state="frozen"/>
      <selection pane="topLeft" activeCell="H29" sqref="H29"/>
      <selection pane="topRight" activeCell="H29" sqref="H29"/>
      <selection pane="bottomLeft" activeCell="H29" sqref="H29"/>
      <selection pane="bottomRight" activeCell="R45" sqref="R45"/>
    </sheetView>
  </sheetViews>
  <sheetFormatPr defaultColWidth="9.140625" defaultRowHeight="15" outlineLevelRow="1"/>
  <cols>
    <col min="1" max="1" width="32.421875" style="2" customWidth="1"/>
    <col min="2" max="14" width="9.140625" style="1" customWidth="1"/>
    <col min="15" max="15" width="9.8515625" style="1" bestFit="1" customWidth="1"/>
    <col min="16" max="16384" width="9.140625" style="1" customWidth="1"/>
  </cols>
  <sheetData>
    <row r="1" spans="1:19" ht="12.75">
      <c r="A1" s="21"/>
      <c r="B1" s="482" t="s">
        <v>68</v>
      </c>
      <c r="C1" s="483"/>
      <c r="D1" s="483"/>
      <c r="E1" s="483"/>
      <c r="F1" s="483"/>
      <c r="G1" s="483"/>
      <c r="H1" s="483"/>
      <c r="I1" s="483"/>
      <c r="J1" s="483"/>
      <c r="K1" s="483"/>
      <c r="L1" s="483"/>
      <c r="M1" s="483"/>
      <c r="N1" s="483"/>
      <c r="O1" s="483"/>
      <c r="P1" s="483"/>
      <c r="Q1" s="483"/>
      <c r="R1" s="483"/>
      <c r="S1" s="484"/>
    </row>
    <row r="2" spans="1:19" ht="12.75">
      <c r="A2" s="43"/>
      <c r="B2" s="88">
        <v>1991</v>
      </c>
      <c r="C2" s="88">
        <v>1992</v>
      </c>
      <c r="D2" s="88">
        <v>1993</v>
      </c>
      <c r="E2" s="88">
        <v>1994</v>
      </c>
      <c r="F2" s="88">
        <v>1995</v>
      </c>
      <c r="G2" s="88">
        <v>1996</v>
      </c>
      <c r="H2" s="44">
        <v>1997</v>
      </c>
      <c r="I2" s="44">
        <v>1998</v>
      </c>
      <c r="J2" s="88">
        <v>1999</v>
      </c>
      <c r="K2" s="44">
        <v>2000</v>
      </c>
      <c r="L2" s="84">
        <v>2001</v>
      </c>
      <c r="M2" s="88">
        <v>2002</v>
      </c>
      <c r="N2" s="44">
        <v>2003</v>
      </c>
      <c r="O2" s="44">
        <v>2004</v>
      </c>
      <c r="P2" s="84">
        <v>2005</v>
      </c>
      <c r="Q2" s="44">
        <v>2006</v>
      </c>
      <c r="R2" s="44">
        <v>2007</v>
      </c>
      <c r="S2" s="116">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f>B15-B13</f>
        <v>4343</v>
      </c>
      <c r="C5" s="2">
        <v>4433</v>
      </c>
      <c r="D5" s="2">
        <v>4360</v>
      </c>
      <c r="E5" s="2">
        <v>4356</v>
      </c>
      <c r="F5" s="2">
        <v>4374</v>
      </c>
      <c r="G5" s="2">
        <v>4355</v>
      </c>
      <c r="H5" s="2">
        <v>3770</v>
      </c>
      <c r="I5" s="2">
        <v>3516</v>
      </c>
      <c r="J5" s="2">
        <v>3366</v>
      </c>
      <c r="K5" s="2">
        <v>3333</v>
      </c>
      <c r="L5" s="2">
        <v>3201</v>
      </c>
      <c r="M5" s="2">
        <v>2870</v>
      </c>
      <c r="N5" s="2">
        <v>3114</v>
      </c>
      <c r="O5" s="2">
        <v>3194</v>
      </c>
      <c r="P5" s="2">
        <v>3274</v>
      </c>
      <c r="Q5" s="2">
        <v>4175</v>
      </c>
      <c r="R5" s="2">
        <v>5274</v>
      </c>
      <c r="S5" s="5">
        <v>5406</v>
      </c>
    </row>
    <row r="6" spans="1:19" ht="12.75">
      <c r="A6" s="47" t="s">
        <v>28</v>
      </c>
      <c r="B6" s="2"/>
      <c r="C6" s="2"/>
      <c r="D6" s="2"/>
      <c r="E6" s="2"/>
      <c r="F6" s="2"/>
      <c r="G6" s="2"/>
      <c r="H6" s="2"/>
      <c r="I6" s="2"/>
      <c r="J6" s="2"/>
      <c r="K6" s="2"/>
      <c r="L6" s="2"/>
      <c r="M6" s="2"/>
      <c r="N6" s="2"/>
      <c r="O6" s="2"/>
      <c r="P6" s="2"/>
      <c r="Q6" s="2"/>
      <c r="R6" s="2"/>
      <c r="S6" s="5"/>
    </row>
    <row r="7" spans="1:19" ht="12.75">
      <c r="A7" s="47" t="s">
        <v>27</v>
      </c>
      <c r="B7" s="2">
        <f aca="true" t="shared" si="0" ref="B7:S7">B18</f>
        <v>0</v>
      </c>
      <c r="C7" s="2">
        <f t="shared" si="0"/>
        <v>0</v>
      </c>
      <c r="D7" s="2">
        <f t="shared" si="0"/>
        <v>0</v>
      </c>
      <c r="E7" s="2">
        <f t="shared" si="0"/>
        <v>0</v>
      </c>
      <c r="F7" s="2">
        <f t="shared" si="0"/>
        <v>0</v>
      </c>
      <c r="G7" s="2">
        <f t="shared" si="0"/>
        <v>0</v>
      </c>
      <c r="H7" s="2">
        <f t="shared" si="0"/>
        <v>0</v>
      </c>
      <c r="I7" s="2">
        <f t="shared" si="0"/>
        <v>0</v>
      </c>
      <c r="J7" s="2">
        <f t="shared" si="0"/>
        <v>0</v>
      </c>
      <c r="K7" s="2">
        <f t="shared" si="0"/>
        <v>0</v>
      </c>
      <c r="L7" s="2">
        <f t="shared" si="0"/>
        <v>0</v>
      </c>
      <c r="M7" s="2">
        <f t="shared" si="0"/>
        <v>0</v>
      </c>
      <c r="N7" s="2">
        <f t="shared" si="0"/>
        <v>0</v>
      </c>
      <c r="O7" s="2">
        <f t="shared" si="0"/>
        <v>0</v>
      </c>
      <c r="P7" s="2">
        <f t="shared" si="0"/>
        <v>0</v>
      </c>
      <c r="Q7" s="2">
        <f t="shared" si="0"/>
        <v>0</v>
      </c>
      <c r="R7" s="2">
        <f t="shared" si="0"/>
        <v>0</v>
      </c>
      <c r="S7" s="5">
        <f t="shared" si="0"/>
        <v>0</v>
      </c>
    </row>
    <row r="8" spans="1:19" ht="12.75">
      <c r="A8" s="47" t="s">
        <v>26</v>
      </c>
      <c r="B8" s="2">
        <f aca="true" t="shared" si="1" ref="B8:S8">B24</f>
        <v>0</v>
      </c>
      <c r="C8" s="2">
        <f t="shared" si="1"/>
        <v>0</v>
      </c>
      <c r="D8" s="2">
        <f t="shared" si="1"/>
        <v>0</v>
      </c>
      <c r="E8" s="2">
        <f t="shared" si="1"/>
        <v>0</v>
      </c>
      <c r="F8" s="2">
        <f t="shared" si="1"/>
        <v>0</v>
      </c>
      <c r="G8" s="2">
        <f t="shared" si="1"/>
        <v>0</v>
      </c>
      <c r="H8" s="2">
        <f t="shared" si="1"/>
        <v>0</v>
      </c>
      <c r="I8" s="2">
        <f t="shared" si="1"/>
        <v>0</v>
      </c>
      <c r="J8" s="2">
        <f t="shared" si="1"/>
        <v>0</v>
      </c>
      <c r="K8" s="2">
        <f t="shared" si="1"/>
        <v>0</v>
      </c>
      <c r="L8" s="2">
        <f t="shared" si="1"/>
        <v>0</v>
      </c>
      <c r="M8" s="2">
        <f t="shared" si="1"/>
        <v>0</v>
      </c>
      <c r="N8" s="2">
        <f t="shared" si="1"/>
        <v>0</v>
      </c>
      <c r="O8" s="2">
        <f t="shared" si="1"/>
        <v>0</v>
      </c>
      <c r="P8" s="2">
        <f t="shared" si="1"/>
        <v>0</v>
      </c>
      <c r="Q8" s="2">
        <f t="shared" si="1"/>
        <v>0</v>
      </c>
      <c r="R8" s="2">
        <f t="shared" si="1"/>
        <v>0</v>
      </c>
      <c r="S8" s="5">
        <f t="shared" si="1"/>
        <v>0</v>
      </c>
    </row>
    <row r="9" spans="1:19" ht="12.75">
      <c r="A9" s="59" t="s">
        <v>35</v>
      </c>
      <c r="B9" s="78">
        <f aca="true" t="shared" si="2" ref="B9:S9">B36</f>
        <v>0</v>
      </c>
      <c r="C9" s="78">
        <f t="shared" si="2"/>
        <v>0</v>
      </c>
      <c r="D9" s="78">
        <f t="shared" si="2"/>
        <v>0</v>
      </c>
      <c r="E9" s="78">
        <f t="shared" si="2"/>
        <v>174</v>
      </c>
      <c r="F9" s="13">
        <f t="shared" si="2"/>
        <v>156</v>
      </c>
      <c r="G9" s="13">
        <f t="shared" si="2"/>
        <v>150</v>
      </c>
      <c r="H9" s="13">
        <f t="shared" si="2"/>
        <v>150</v>
      </c>
      <c r="I9" s="13">
        <f t="shared" si="2"/>
        <v>156</v>
      </c>
      <c r="J9" s="13">
        <f t="shared" si="2"/>
        <v>150</v>
      </c>
      <c r="K9" s="13">
        <f t="shared" si="2"/>
        <v>95</v>
      </c>
      <c r="L9" s="13">
        <f t="shared" si="2"/>
        <v>95</v>
      </c>
      <c r="M9" s="13">
        <f t="shared" si="2"/>
        <v>178</v>
      </c>
      <c r="N9" s="13">
        <f t="shared" si="2"/>
        <v>179</v>
      </c>
      <c r="O9" s="13">
        <f t="shared" si="2"/>
        <v>179</v>
      </c>
      <c r="P9" s="13">
        <f t="shared" si="2"/>
        <v>179</v>
      </c>
      <c r="Q9" s="13">
        <f t="shared" si="2"/>
        <v>179</v>
      </c>
      <c r="R9" s="13">
        <f t="shared" si="2"/>
        <v>179</v>
      </c>
      <c r="S9" s="12">
        <f t="shared" si="2"/>
        <v>179</v>
      </c>
    </row>
    <row r="10" spans="1:19" ht="12.75">
      <c r="A10" s="59" t="s">
        <v>43</v>
      </c>
      <c r="B10" s="78">
        <f aca="true" t="shared" si="3" ref="B10:S10">B48</f>
        <v>0</v>
      </c>
      <c r="C10" s="78">
        <f t="shared" si="3"/>
        <v>0</v>
      </c>
      <c r="D10" s="78">
        <f t="shared" si="3"/>
        <v>0</v>
      </c>
      <c r="E10" s="78">
        <f t="shared" si="3"/>
        <v>0</v>
      </c>
      <c r="F10" s="13">
        <f t="shared" si="3"/>
        <v>0</v>
      </c>
      <c r="G10" s="13">
        <f t="shared" si="3"/>
        <v>0</v>
      </c>
      <c r="H10" s="13">
        <f t="shared" si="3"/>
        <v>0</v>
      </c>
      <c r="I10" s="13">
        <f t="shared" si="3"/>
        <v>0</v>
      </c>
      <c r="J10" s="13">
        <f t="shared" si="3"/>
        <v>0</v>
      </c>
      <c r="K10" s="13">
        <f t="shared" si="3"/>
        <v>0</v>
      </c>
      <c r="L10" s="13">
        <f t="shared" si="3"/>
        <v>0</v>
      </c>
      <c r="M10" s="13">
        <f t="shared" si="3"/>
        <v>0</v>
      </c>
      <c r="N10" s="13">
        <f t="shared" si="3"/>
        <v>0</v>
      </c>
      <c r="O10" s="13">
        <f t="shared" si="3"/>
        <v>0</v>
      </c>
      <c r="P10" s="13">
        <f t="shared" si="3"/>
        <v>0</v>
      </c>
      <c r="Q10" s="13">
        <f t="shared" si="3"/>
        <v>0</v>
      </c>
      <c r="R10" s="13">
        <f t="shared" si="3"/>
        <v>0</v>
      </c>
      <c r="S10" s="12">
        <f t="shared" si="3"/>
        <v>0</v>
      </c>
    </row>
    <row r="11" spans="1:19" ht="12.75">
      <c r="A11" s="59" t="s">
        <v>44</v>
      </c>
      <c r="B11" s="78">
        <f aca="true" t="shared" si="4" ref="B11:S11">B42</f>
        <v>0</v>
      </c>
      <c r="C11" s="78">
        <f t="shared" si="4"/>
        <v>0</v>
      </c>
      <c r="D11" s="78">
        <f t="shared" si="4"/>
        <v>0</v>
      </c>
      <c r="E11" s="78">
        <f t="shared" si="4"/>
        <v>0</v>
      </c>
      <c r="F11" s="13">
        <f t="shared" si="4"/>
        <v>0</v>
      </c>
      <c r="G11" s="13">
        <f t="shared" si="4"/>
        <v>0</v>
      </c>
      <c r="H11" s="13">
        <f t="shared" si="4"/>
        <v>0</v>
      </c>
      <c r="I11" s="13">
        <f t="shared" si="4"/>
        <v>0</v>
      </c>
      <c r="J11" s="13">
        <f t="shared" si="4"/>
        <v>0</v>
      </c>
      <c r="K11" s="13">
        <f t="shared" si="4"/>
        <v>0</v>
      </c>
      <c r="L11" s="13">
        <f t="shared" si="4"/>
        <v>0</v>
      </c>
      <c r="M11" s="13">
        <f t="shared" si="4"/>
        <v>0</v>
      </c>
      <c r="N11" s="13">
        <f t="shared" si="4"/>
        <v>0</v>
      </c>
      <c r="O11" s="13">
        <f t="shared" si="4"/>
        <v>0</v>
      </c>
      <c r="P11" s="13">
        <f t="shared" si="4"/>
        <v>0</v>
      </c>
      <c r="Q11" s="13">
        <f t="shared" si="4"/>
        <v>0</v>
      </c>
      <c r="R11" s="13">
        <f t="shared" si="4"/>
        <v>0</v>
      </c>
      <c r="S11" s="12">
        <f t="shared" si="4"/>
        <v>0</v>
      </c>
    </row>
    <row r="12" spans="1:19" ht="12.75">
      <c r="A12" s="47" t="s">
        <v>25</v>
      </c>
      <c r="B12" s="2">
        <f aca="true" t="shared" si="5" ref="B12:S12">B30</f>
        <v>0</v>
      </c>
      <c r="C12" s="2">
        <f t="shared" si="5"/>
        <v>0</v>
      </c>
      <c r="D12" s="2">
        <f t="shared" si="5"/>
        <v>0</v>
      </c>
      <c r="E12" s="2">
        <f t="shared" si="5"/>
        <v>0</v>
      </c>
      <c r="F12" s="2">
        <f t="shared" si="5"/>
        <v>0</v>
      </c>
      <c r="G12" s="2">
        <f t="shared" si="5"/>
        <v>0</v>
      </c>
      <c r="H12" s="2">
        <f t="shared" si="5"/>
        <v>0</v>
      </c>
      <c r="I12" s="2">
        <f t="shared" si="5"/>
        <v>0</v>
      </c>
      <c r="J12" s="2">
        <f t="shared" si="5"/>
        <v>0</v>
      </c>
      <c r="K12" s="2">
        <f t="shared" si="5"/>
        <v>0</v>
      </c>
      <c r="L12" s="2">
        <f t="shared" si="5"/>
        <v>0</v>
      </c>
      <c r="M12" s="2">
        <f t="shared" si="5"/>
        <v>0</v>
      </c>
      <c r="N12" s="2">
        <f t="shared" si="5"/>
        <v>0</v>
      </c>
      <c r="O12" s="2">
        <f t="shared" si="5"/>
        <v>0</v>
      </c>
      <c r="P12" s="2">
        <f t="shared" si="5"/>
        <v>0</v>
      </c>
      <c r="Q12" s="2">
        <f t="shared" si="5"/>
        <v>0</v>
      </c>
      <c r="R12" s="2">
        <f t="shared" si="5"/>
        <v>0</v>
      </c>
      <c r="S12" s="5">
        <f t="shared" si="5"/>
        <v>0</v>
      </c>
    </row>
    <row r="13" spans="1:19" ht="12.75">
      <c r="A13" s="46" t="s">
        <v>24</v>
      </c>
      <c r="B13" s="42">
        <v>180</v>
      </c>
      <c r="C13" s="42">
        <v>24</v>
      </c>
      <c r="D13" s="42">
        <f>18+6</f>
        <v>24</v>
      </c>
      <c r="E13" s="42">
        <f>E15-E5</f>
        <v>174</v>
      </c>
      <c r="F13" s="42">
        <f>156+27</f>
        <v>183</v>
      </c>
      <c r="G13" s="42">
        <f>150+27</f>
        <v>177</v>
      </c>
      <c r="H13" s="42">
        <v>181</v>
      </c>
      <c r="I13" s="42">
        <v>156</v>
      </c>
      <c r="J13" s="42">
        <v>226</v>
      </c>
      <c r="K13" s="42">
        <v>145</v>
      </c>
      <c r="L13" s="42">
        <v>145</v>
      </c>
      <c r="M13" s="42">
        <v>229</v>
      </c>
      <c r="N13" s="42">
        <v>1126</v>
      </c>
      <c r="O13" s="42">
        <v>1107</v>
      </c>
      <c r="P13" s="42">
        <v>1110</v>
      </c>
      <c r="Q13" s="42">
        <v>627</v>
      </c>
      <c r="R13" s="42">
        <v>748</v>
      </c>
      <c r="S13" s="28">
        <v>773</v>
      </c>
    </row>
    <row r="14" spans="1:19" ht="12.75">
      <c r="A14" s="47" t="s">
        <v>23</v>
      </c>
      <c r="B14" s="2"/>
      <c r="C14" s="2">
        <v>76</v>
      </c>
      <c r="D14" s="2"/>
      <c r="E14" s="2"/>
      <c r="F14" s="2"/>
      <c r="G14" s="2"/>
      <c r="H14" s="2"/>
      <c r="I14" s="2"/>
      <c r="J14" s="2"/>
      <c r="K14" s="2"/>
      <c r="L14" s="2"/>
      <c r="M14" s="2"/>
      <c r="N14" s="2"/>
      <c r="O14" s="2"/>
      <c r="P14" s="2"/>
      <c r="Q14" s="2"/>
      <c r="R14" s="2"/>
      <c r="S14" s="5"/>
    </row>
    <row r="15" spans="1:19" ht="12.75">
      <c r="A15" s="48" t="s">
        <v>22</v>
      </c>
      <c r="B15" s="17">
        <v>4523</v>
      </c>
      <c r="C15" s="17">
        <v>4533</v>
      </c>
      <c r="D15" s="17">
        <v>4384</v>
      </c>
      <c r="E15" s="17">
        <v>4530</v>
      </c>
      <c r="F15" s="17">
        <v>4556</v>
      </c>
      <c r="G15" s="17">
        <v>4532</v>
      </c>
      <c r="H15" s="114">
        <f>SUM(H5,H13)</f>
        <v>3951</v>
      </c>
      <c r="I15" s="114">
        <f>SUM(I13,I5)</f>
        <v>3672</v>
      </c>
      <c r="J15" s="114">
        <f aca="true" t="shared" si="6" ref="J15:R15">SUM(J5,J13:J14)</f>
        <v>3592</v>
      </c>
      <c r="K15" s="114">
        <f t="shared" si="6"/>
        <v>3478</v>
      </c>
      <c r="L15" s="114">
        <f t="shared" si="6"/>
        <v>3346</v>
      </c>
      <c r="M15" s="114">
        <f t="shared" si="6"/>
        <v>3099</v>
      </c>
      <c r="N15" s="114">
        <f t="shared" si="6"/>
        <v>4240</v>
      </c>
      <c r="O15" s="114">
        <f t="shared" si="6"/>
        <v>4301</v>
      </c>
      <c r="P15" s="114">
        <f t="shared" si="6"/>
        <v>4384</v>
      </c>
      <c r="Q15" s="114">
        <f t="shared" si="6"/>
        <v>4802</v>
      </c>
      <c r="R15" s="114">
        <f t="shared" si="6"/>
        <v>6022</v>
      </c>
      <c r="S15" s="115">
        <f>SUM(S13,S5,S14)</f>
        <v>6179</v>
      </c>
    </row>
    <row r="16" spans="1:19" ht="12.75">
      <c r="A16" s="5"/>
      <c r="B16" s="42"/>
      <c r="C16" s="42"/>
      <c r="D16" s="42"/>
      <c r="E16" s="42"/>
      <c r="F16" s="42"/>
      <c r="G16" s="42"/>
      <c r="H16" s="42"/>
      <c r="I16" s="42"/>
      <c r="J16" s="42"/>
      <c r="K16" s="42"/>
      <c r="L16" s="42"/>
      <c r="M16" s="42"/>
      <c r="N16" s="42"/>
      <c r="O16" s="42"/>
      <c r="P16" s="42"/>
      <c r="Q16" s="42"/>
      <c r="R16" s="42"/>
      <c r="S16" s="28"/>
    </row>
    <row r="17" spans="1:19" ht="12.75" hidden="1" outlineLevel="1">
      <c r="A17" s="41" t="s">
        <v>21</v>
      </c>
      <c r="B17" s="40"/>
      <c r="C17" s="40"/>
      <c r="D17" s="40"/>
      <c r="E17" s="40"/>
      <c r="F17" s="40"/>
      <c r="G17" s="40"/>
      <c r="H17" s="40"/>
      <c r="I17" s="40"/>
      <c r="J17" s="40"/>
      <c r="K17" s="40"/>
      <c r="L17" s="40"/>
      <c r="M17" s="40"/>
      <c r="N17" s="40"/>
      <c r="O17" s="40"/>
      <c r="P17" s="40"/>
      <c r="Q17" s="40"/>
      <c r="R17" s="40"/>
      <c r="S17" s="39"/>
    </row>
    <row r="18" spans="1:19" ht="12.75" hidden="1" outlineLevel="1">
      <c r="A18" s="47" t="s">
        <v>12</v>
      </c>
      <c r="B18" s="30"/>
      <c r="C18" s="30"/>
      <c r="D18" s="30"/>
      <c r="E18" s="30"/>
      <c r="F18" s="30"/>
      <c r="G18" s="30"/>
      <c r="H18" s="30"/>
      <c r="I18" s="30"/>
      <c r="J18" s="30"/>
      <c r="K18" s="30"/>
      <c r="L18" s="30"/>
      <c r="M18" s="30"/>
      <c r="N18" s="30"/>
      <c r="O18" s="30"/>
      <c r="P18" s="30"/>
      <c r="Q18" s="30"/>
      <c r="R18" s="30"/>
      <c r="S18" s="5"/>
    </row>
    <row r="19" spans="1:19" ht="25.5" hidden="1" outlineLevel="1">
      <c r="A19" s="47" t="s">
        <v>16</v>
      </c>
      <c r="B19" s="30"/>
      <c r="C19" s="30"/>
      <c r="D19" s="30"/>
      <c r="E19" s="30"/>
      <c r="F19" s="30"/>
      <c r="G19" s="30"/>
      <c r="H19" s="30"/>
      <c r="I19" s="30"/>
      <c r="J19" s="30"/>
      <c r="K19" s="30"/>
      <c r="L19" s="30"/>
      <c r="M19" s="30"/>
      <c r="N19" s="30"/>
      <c r="O19" s="30"/>
      <c r="P19" s="30"/>
      <c r="Q19" s="30"/>
      <c r="R19" s="30"/>
      <c r="S19" s="5"/>
    </row>
    <row r="20" spans="1:19" ht="12.75" hidden="1" outlineLevel="1">
      <c r="A20" s="46" t="s">
        <v>20</v>
      </c>
      <c r="B20" s="29">
        <f aca="true" t="shared" si="7" ref="B20:S20">SUM(B18:B19)</f>
        <v>0</v>
      </c>
      <c r="C20" s="29">
        <f t="shared" si="7"/>
        <v>0</v>
      </c>
      <c r="D20" s="29">
        <f t="shared" si="7"/>
        <v>0</v>
      </c>
      <c r="E20" s="29">
        <f t="shared" si="7"/>
        <v>0</v>
      </c>
      <c r="F20" s="29">
        <f t="shared" si="7"/>
        <v>0</v>
      </c>
      <c r="G20" s="29">
        <f t="shared" si="7"/>
        <v>0</v>
      </c>
      <c r="H20" s="29">
        <f t="shared" si="7"/>
        <v>0</v>
      </c>
      <c r="I20" s="29">
        <f t="shared" si="7"/>
        <v>0</v>
      </c>
      <c r="J20" s="29">
        <f t="shared" si="7"/>
        <v>0</v>
      </c>
      <c r="K20" s="29">
        <f t="shared" si="7"/>
        <v>0</v>
      </c>
      <c r="L20" s="29">
        <f t="shared" si="7"/>
        <v>0</v>
      </c>
      <c r="M20" s="29">
        <f t="shared" si="7"/>
        <v>0</v>
      </c>
      <c r="N20" s="29">
        <f t="shared" si="7"/>
        <v>0</v>
      </c>
      <c r="O20" s="29">
        <f t="shared" si="7"/>
        <v>0</v>
      </c>
      <c r="P20" s="29">
        <f t="shared" si="7"/>
        <v>0</v>
      </c>
      <c r="Q20" s="29">
        <f t="shared" si="7"/>
        <v>0</v>
      </c>
      <c r="R20" s="29">
        <f t="shared" si="7"/>
        <v>0</v>
      </c>
      <c r="S20" s="28">
        <f t="shared" si="7"/>
        <v>0</v>
      </c>
    </row>
    <row r="21" spans="1:19" ht="12.75" hidden="1" outlineLevel="1">
      <c r="A21" s="49" t="s">
        <v>14</v>
      </c>
      <c r="B21" s="27"/>
      <c r="C21" s="27"/>
      <c r="D21" s="27"/>
      <c r="E21" s="27"/>
      <c r="F21" s="27"/>
      <c r="G21" s="27"/>
      <c r="H21" s="27"/>
      <c r="I21" s="27"/>
      <c r="J21" s="27"/>
      <c r="K21" s="27"/>
      <c r="L21" s="27"/>
      <c r="M21" s="27"/>
      <c r="N21" s="27"/>
      <c r="O21" s="27"/>
      <c r="P21" s="27"/>
      <c r="Q21" s="27"/>
      <c r="R21" s="27"/>
      <c r="S21" s="26"/>
    </row>
    <row r="22" spans="1:19" ht="12.75" hidden="1" outlineLevel="1">
      <c r="A22" s="5"/>
      <c r="B22" s="42"/>
      <c r="C22" s="42"/>
      <c r="D22" s="42"/>
      <c r="E22" s="42"/>
      <c r="F22" s="42"/>
      <c r="G22" s="42"/>
      <c r="H22" s="42"/>
      <c r="I22" s="42"/>
      <c r="J22" s="42"/>
      <c r="K22" s="42"/>
      <c r="L22" s="42"/>
      <c r="M22" s="42"/>
      <c r="N22" s="42"/>
      <c r="O22" s="42"/>
      <c r="P22" s="42"/>
      <c r="Q22" s="42"/>
      <c r="R22" s="42"/>
      <c r="S22" s="28"/>
    </row>
    <row r="23" spans="1:19" ht="12.75" hidden="1" outlineLevel="1">
      <c r="A23" s="38" t="s">
        <v>19</v>
      </c>
      <c r="B23" s="37"/>
      <c r="C23" s="37"/>
      <c r="D23" s="37"/>
      <c r="E23" s="37"/>
      <c r="F23" s="37"/>
      <c r="G23" s="37"/>
      <c r="H23" s="37"/>
      <c r="I23" s="37"/>
      <c r="J23" s="37"/>
      <c r="K23" s="37"/>
      <c r="L23" s="37"/>
      <c r="M23" s="37"/>
      <c r="N23" s="37"/>
      <c r="O23" s="37"/>
      <c r="P23" s="37"/>
      <c r="Q23" s="37"/>
      <c r="R23" s="37"/>
      <c r="S23" s="36"/>
    </row>
    <row r="24" spans="1:19" ht="12.75" hidden="1" outlineLevel="1">
      <c r="A24" s="47" t="s">
        <v>12</v>
      </c>
      <c r="B24" s="30"/>
      <c r="C24" s="30"/>
      <c r="D24" s="30"/>
      <c r="E24" s="30"/>
      <c r="F24" s="30"/>
      <c r="G24" s="30"/>
      <c r="H24" s="30"/>
      <c r="I24" s="30"/>
      <c r="J24" s="30"/>
      <c r="K24" s="30"/>
      <c r="L24" s="30"/>
      <c r="M24" s="30"/>
      <c r="N24" s="30"/>
      <c r="O24" s="30"/>
      <c r="P24" s="30"/>
      <c r="Q24" s="30"/>
      <c r="R24" s="30"/>
      <c r="S24" s="5"/>
    </row>
    <row r="25" spans="1:19" ht="25.5" hidden="1" outlineLevel="1">
      <c r="A25" s="47" t="s">
        <v>16</v>
      </c>
      <c r="B25" s="30"/>
      <c r="C25" s="30"/>
      <c r="D25" s="30"/>
      <c r="E25" s="30"/>
      <c r="F25" s="30"/>
      <c r="G25" s="30"/>
      <c r="H25" s="30"/>
      <c r="I25" s="30"/>
      <c r="J25" s="30"/>
      <c r="K25" s="30"/>
      <c r="L25" s="30"/>
      <c r="M25" s="30"/>
      <c r="N25" s="30"/>
      <c r="O25" s="30"/>
      <c r="P25" s="30"/>
      <c r="Q25" s="30"/>
      <c r="R25" s="30"/>
      <c r="S25" s="5"/>
    </row>
    <row r="26" spans="1:19" ht="12.75" hidden="1" outlineLevel="1">
      <c r="A26" s="46" t="s">
        <v>18</v>
      </c>
      <c r="B26" s="29">
        <f aca="true" t="shared" si="8" ref="B26:S26">SUM(B24:B25)</f>
        <v>0</v>
      </c>
      <c r="C26" s="29">
        <f t="shared" si="8"/>
        <v>0</v>
      </c>
      <c r="D26" s="29">
        <f t="shared" si="8"/>
        <v>0</v>
      </c>
      <c r="E26" s="29">
        <f t="shared" si="8"/>
        <v>0</v>
      </c>
      <c r="F26" s="29">
        <f t="shared" si="8"/>
        <v>0</v>
      </c>
      <c r="G26" s="29">
        <f t="shared" si="8"/>
        <v>0</v>
      </c>
      <c r="H26" s="29">
        <f t="shared" si="8"/>
        <v>0</v>
      </c>
      <c r="I26" s="29">
        <f t="shared" si="8"/>
        <v>0</v>
      </c>
      <c r="J26" s="29">
        <f t="shared" si="8"/>
        <v>0</v>
      </c>
      <c r="K26" s="29">
        <f t="shared" si="8"/>
        <v>0</v>
      </c>
      <c r="L26" s="29">
        <f t="shared" si="8"/>
        <v>0</v>
      </c>
      <c r="M26" s="29">
        <f t="shared" si="8"/>
        <v>0</v>
      </c>
      <c r="N26" s="29">
        <f t="shared" si="8"/>
        <v>0</v>
      </c>
      <c r="O26" s="29">
        <f t="shared" si="8"/>
        <v>0</v>
      </c>
      <c r="P26" s="29">
        <f t="shared" si="8"/>
        <v>0</v>
      </c>
      <c r="Q26" s="29">
        <f t="shared" si="8"/>
        <v>0</v>
      </c>
      <c r="R26" s="29">
        <f t="shared" si="8"/>
        <v>0</v>
      </c>
      <c r="S26" s="28">
        <f t="shared" si="8"/>
        <v>0</v>
      </c>
    </row>
    <row r="27" spans="1:19" ht="12.75" hidden="1" outlineLevel="1">
      <c r="A27" s="51" t="s">
        <v>14</v>
      </c>
      <c r="B27" s="35"/>
      <c r="C27" s="35"/>
      <c r="D27" s="35"/>
      <c r="E27" s="35"/>
      <c r="F27" s="35"/>
      <c r="G27" s="35"/>
      <c r="H27" s="35"/>
      <c r="I27" s="35"/>
      <c r="J27" s="35"/>
      <c r="K27" s="35"/>
      <c r="L27" s="35"/>
      <c r="M27" s="35"/>
      <c r="N27" s="35"/>
      <c r="O27" s="35"/>
      <c r="P27" s="35"/>
      <c r="Q27" s="35"/>
      <c r="R27" s="35"/>
      <c r="S27" s="34"/>
    </row>
    <row r="28" spans="1:19" ht="12.75" hidden="1" outlineLevel="1">
      <c r="A28" s="5"/>
      <c r="B28" s="42"/>
      <c r="C28" s="42"/>
      <c r="D28" s="42"/>
      <c r="E28" s="42"/>
      <c r="F28" s="42"/>
      <c r="G28" s="42"/>
      <c r="H28" s="42"/>
      <c r="I28" s="42"/>
      <c r="J28" s="42"/>
      <c r="K28" s="42"/>
      <c r="L28" s="42"/>
      <c r="M28" s="42"/>
      <c r="N28" s="42"/>
      <c r="O28" s="42"/>
      <c r="P28" s="42"/>
      <c r="Q28" s="42"/>
      <c r="R28" s="42"/>
      <c r="S28" s="28"/>
    </row>
    <row r="29" spans="1:19" ht="12.75" hidden="1" outlineLevel="1">
      <c r="A29" s="33" t="s">
        <v>17</v>
      </c>
      <c r="B29" s="32"/>
      <c r="C29" s="32"/>
      <c r="D29" s="32"/>
      <c r="E29" s="32"/>
      <c r="F29" s="32"/>
      <c r="G29" s="32"/>
      <c r="H29" s="32"/>
      <c r="I29" s="32"/>
      <c r="J29" s="32"/>
      <c r="K29" s="32"/>
      <c r="L29" s="32"/>
      <c r="M29" s="32"/>
      <c r="N29" s="32"/>
      <c r="O29" s="32"/>
      <c r="P29" s="32"/>
      <c r="Q29" s="32"/>
      <c r="R29" s="32"/>
      <c r="S29" s="31"/>
    </row>
    <row r="30" spans="1:19" ht="12.75" hidden="1" outlineLevel="1">
      <c r="A30" s="47" t="s">
        <v>12</v>
      </c>
      <c r="B30" s="30"/>
      <c r="C30" s="30"/>
      <c r="D30" s="30"/>
      <c r="E30" s="30"/>
      <c r="F30" s="30"/>
      <c r="G30" s="30"/>
      <c r="H30" s="30"/>
      <c r="I30" s="30"/>
      <c r="J30" s="30"/>
      <c r="K30" s="30"/>
      <c r="L30" s="30"/>
      <c r="M30" s="30"/>
      <c r="N30" s="30"/>
      <c r="O30" s="30"/>
      <c r="P30" s="30"/>
      <c r="Q30" s="30"/>
      <c r="R30" s="30"/>
      <c r="S30" s="5"/>
    </row>
    <row r="31" spans="1:19" ht="25.5" hidden="1" outlineLevel="1">
      <c r="A31" s="47" t="s">
        <v>16</v>
      </c>
      <c r="B31" s="30"/>
      <c r="C31" s="30"/>
      <c r="D31" s="30"/>
      <c r="E31" s="30"/>
      <c r="F31" s="30"/>
      <c r="G31" s="30"/>
      <c r="H31" s="30"/>
      <c r="I31" s="30"/>
      <c r="J31" s="30"/>
      <c r="K31" s="30"/>
      <c r="L31" s="30"/>
      <c r="M31" s="30"/>
      <c r="N31" s="30"/>
      <c r="O31" s="30"/>
      <c r="P31" s="30"/>
      <c r="Q31" s="30"/>
      <c r="R31" s="30"/>
      <c r="S31" s="5"/>
    </row>
    <row r="32" spans="1:19" ht="12.75" hidden="1" outlineLevel="1">
      <c r="A32" s="46" t="s">
        <v>15</v>
      </c>
      <c r="B32" s="29">
        <f aca="true" t="shared" si="9" ref="B32:S32">SUM(B30:B31)</f>
        <v>0</v>
      </c>
      <c r="C32" s="29">
        <f t="shared" si="9"/>
        <v>0</v>
      </c>
      <c r="D32" s="29">
        <f t="shared" si="9"/>
        <v>0</v>
      </c>
      <c r="E32" s="29">
        <f t="shared" si="9"/>
        <v>0</v>
      </c>
      <c r="F32" s="29">
        <f t="shared" si="9"/>
        <v>0</v>
      </c>
      <c r="G32" s="29">
        <f t="shared" si="9"/>
        <v>0</v>
      </c>
      <c r="H32" s="29">
        <f t="shared" si="9"/>
        <v>0</v>
      </c>
      <c r="I32" s="29">
        <f t="shared" si="9"/>
        <v>0</v>
      </c>
      <c r="J32" s="29">
        <f t="shared" si="9"/>
        <v>0</v>
      </c>
      <c r="K32" s="29">
        <f t="shared" si="9"/>
        <v>0</v>
      </c>
      <c r="L32" s="29">
        <f t="shared" si="9"/>
        <v>0</v>
      </c>
      <c r="M32" s="29">
        <f t="shared" si="9"/>
        <v>0</v>
      </c>
      <c r="N32" s="29">
        <f t="shared" si="9"/>
        <v>0</v>
      </c>
      <c r="O32" s="29">
        <f t="shared" si="9"/>
        <v>0</v>
      </c>
      <c r="P32" s="29">
        <f t="shared" si="9"/>
        <v>0</v>
      </c>
      <c r="Q32" s="29">
        <f t="shared" si="9"/>
        <v>0</v>
      </c>
      <c r="R32" s="29">
        <f t="shared" si="9"/>
        <v>0</v>
      </c>
      <c r="S32" s="28">
        <f t="shared" si="9"/>
        <v>0</v>
      </c>
    </row>
    <row r="33" spans="1:19" ht="12.75" hidden="1" outlineLevel="1">
      <c r="A33" s="49" t="s">
        <v>14</v>
      </c>
      <c r="B33" s="27"/>
      <c r="C33" s="27"/>
      <c r="D33" s="27"/>
      <c r="E33" s="27"/>
      <c r="F33" s="27"/>
      <c r="G33" s="27"/>
      <c r="H33" s="27"/>
      <c r="I33" s="27"/>
      <c r="J33" s="27"/>
      <c r="K33" s="27"/>
      <c r="L33" s="27"/>
      <c r="M33" s="27"/>
      <c r="N33" s="27"/>
      <c r="O33" s="27"/>
      <c r="P33" s="27"/>
      <c r="Q33" s="27"/>
      <c r="R33" s="27"/>
      <c r="S33" s="26"/>
    </row>
    <row r="34" spans="1:19" ht="12.75" collapsed="1">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c r="C36" s="30"/>
      <c r="D36" s="30"/>
      <c r="E36" s="30">
        <v>174</v>
      </c>
      <c r="F36" s="30">
        <v>156</v>
      </c>
      <c r="G36" s="30">
        <v>150</v>
      </c>
      <c r="H36" s="30">
        <v>150</v>
      </c>
      <c r="I36" s="30">
        <v>156</v>
      </c>
      <c r="J36" s="30">
        <v>150</v>
      </c>
      <c r="K36" s="30">
        <v>95</v>
      </c>
      <c r="L36" s="30">
        <v>95</v>
      </c>
      <c r="M36" s="30">
        <v>178</v>
      </c>
      <c r="N36" s="30">
        <v>179</v>
      </c>
      <c r="O36" s="30">
        <v>179</v>
      </c>
      <c r="P36" s="30">
        <v>179</v>
      </c>
      <c r="Q36" s="30">
        <v>179</v>
      </c>
      <c r="R36" s="30">
        <v>179</v>
      </c>
      <c r="S36" s="5">
        <v>179</v>
      </c>
    </row>
    <row r="37" spans="1:19" ht="25.5">
      <c r="A37" s="47" t="s">
        <v>16</v>
      </c>
      <c r="B37" s="30">
        <f>2516</f>
        <v>2516</v>
      </c>
      <c r="C37" s="30">
        <f>248+746</f>
        <v>994</v>
      </c>
      <c r="D37" s="30">
        <f>44+1164</f>
        <v>1208</v>
      </c>
      <c r="E37" s="30">
        <f>258+55</f>
        <v>313</v>
      </c>
      <c r="F37" s="30">
        <f>10</f>
        <v>10</v>
      </c>
      <c r="G37" s="30">
        <f>10</f>
        <v>10</v>
      </c>
      <c r="H37" s="30">
        <f>4+337</f>
        <v>341</v>
      </c>
      <c r="I37" s="30">
        <f>137</f>
        <v>137</v>
      </c>
      <c r="J37" s="30">
        <v>34</v>
      </c>
      <c r="K37" s="30">
        <v>8</v>
      </c>
      <c r="L37" s="30">
        <v>502</v>
      </c>
      <c r="M37" s="30">
        <v>176</v>
      </c>
      <c r="N37" s="30">
        <v>0</v>
      </c>
      <c r="O37" s="30">
        <v>7</v>
      </c>
      <c r="P37" s="30">
        <v>51</v>
      </c>
      <c r="Q37" s="30">
        <v>46</v>
      </c>
      <c r="R37" s="30">
        <f>45</f>
        <v>45</v>
      </c>
      <c r="S37" s="5">
        <v>49</v>
      </c>
    </row>
    <row r="38" spans="1:19" ht="12.75">
      <c r="A38" s="46" t="s">
        <v>18</v>
      </c>
      <c r="B38" s="29">
        <f aca="true" t="shared" si="10" ref="B38:S38">SUM(B36:B37)</f>
        <v>2516</v>
      </c>
      <c r="C38" s="29">
        <f t="shared" si="10"/>
        <v>994</v>
      </c>
      <c r="D38" s="29">
        <f t="shared" si="10"/>
        <v>1208</v>
      </c>
      <c r="E38" s="29">
        <f t="shared" si="10"/>
        <v>487</v>
      </c>
      <c r="F38" s="29">
        <f t="shared" si="10"/>
        <v>166</v>
      </c>
      <c r="G38" s="29">
        <f t="shared" si="10"/>
        <v>160</v>
      </c>
      <c r="H38" s="29">
        <f t="shared" si="10"/>
        <v>491</v>
      </c>
      <c r="I38" s="29">
        <f t="shared" si="10"/>
        <v>293</v>
      </c>
      <c r="J38" s="29">
        <f t="shared" si="10"/>
        <v>184</v>
      </c>
      <c r="K38" s="29">
        <f t="shared" si="10"/>
        <v>103</v>
      </c>
      <c r="L38" s="29">
        <f t="shared" si="10"/>
        <v>597</v>
      </c>
      <c r="M38" s="29">
        <f t="shared" si="10"/>
        <v>354</v>
      </c>
      <c r="N38" s="29">
        <f t="shared" si="10"/>
        <v>179</v>
      </c>
      <c r="O38" s="29">
        <f t="shared" si="10"/>
        <v>186</v>
      </c>
      <c r="P38" s="29">
        <f t="shared" si="10"/>
        <v>230</v>
      </c>
      <c r="Q38" s="29">
        <f t="shared" si="10"/>
        <v>225</v>
      </c>
      <c r="R38" s="29">
        <f t="shared" si="10"/>
        <v>224</v>
      </c>
      <c r="S38" s="28">
        <f t="shared" si="10"/>
        <v>228</v>
      </c>
    </row>
    <row r="39" spans="1:19" ht="12.75">
      <c r="A39" s="51" t="s">
        <v>14</v>
      </c>
      <c r="B39" s="35">
        <f aca="true" t="shared" si="11" ref="B39:S39">B38-B66</f>
        <v>-825</v>
      </c>
      <c r="C39" s="35">
        <f t="shared" si="11"/>
        <v>-369</v>
      </c>
      <c r="D39" s="35">
        <f t="shared" si="11"/>
        <v>187</v>
      </c>
      <c r="E39" s="35">
        <f t="shared" si="11"/>
        <v>-92</v>
      </c>
      <c r="F39" s="35">
        <f t="shared" si="11"/>
        <v>-15</v>
      </c>
      <c r="G39" s="35">
        <f t="shared" si="11"/>
        <v>23</v>
      </c>
      <c r="H39" s="35">
        <f t="shared" si="11"/>
        <v>124</v>
      </c>
      <c r="I39" s="35">
        <f t="shared" si="11"/>
        <v>-184</v>
      </c>
      <c r="J39" s="35">
        <f t="shared" si="11"/>
        <v>-241</v>
      </c>
      <c r="K39" s="35">
        <f t="shared" si="11"/>
        <v>-173</v>
      </c>
      <c r="L39" s="35">
        <f t="shared" si="11"/>
        <v>314</v>
      </c>
      <c r="M39" s="35">
        <f t="shared" si="11"/>
        <v>67</v>
      </c>
      <c r="N39" s="35">
        <f t="shared" si="11"/>
        <v>-52</v>
      </c>
      <c r="O39" s="35">
        <f t="shared" si="11"/>
        <v>-37</v>
      </c>
      <c r="P39" s="35">
        <f t="shared" si="11"/>
        <v>-80</v>
      </c>
      <c r="Q39" s="35">
        <f t="shared" si="11"/>
        <v>-160</v>
      </c>
      <c r="R39" s="35">
        <f t="shared" si="11"/>
        <v>-228</v>
      </c>
      <c r="S39" s="34">
        <f t="shared" si="11"/>
        <v>-270</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c r="E42" s="30"/>
      <c r="F42" s="30"/>
      <c r="G42" s="30"/>
      <c r="H42" s="30"/>
      <c r="I42" s="30"/>
      <c r="J42" s="30"/>
      <c r="K42" s="30"/>
      <c r="L42" s="30"/>
      <c r="M42" s="30"/>
      <c r="N42" s="30"/>
      <c r="O42" s="30"/>
      <c r="P42" s="30"/>
      <c r="Q42" s="30"/>
      <c r="R42" s="30"/>
      <c r="S42" s="5"/>
    </row>
    <row r="43" spans="1:19" ht="25.5">
      <c r="A43" s="47" t="s">
        <v>16</v>
      </c>
      <c r="B43" s="30">
        <f>196+96+575</f>
        <v>867</v>
      </c>
      <c r="C43" s="30">
        <f>187+79+523</f>
        <v>789</v>
      </c>
      <c r="D43" s="30">
        <f>608+147+160</f>
        <v>915</v>
      </c>
      <c r="E43" s="30">
        <f>673+129+180</f>
        <v>982</v>
      </c>
      <c r="F43" s="30">
        <f>32+89+182+847+201+117</f>
        <v>1468</v>
      </c>
      <c r="G43" s="30">
        <f>150+91+790+205+102</f>
        <v>1338</v>
      </c>
      <c r="H43" s="30">
        <f>185+9+215+886</f>
        <v>1295</v>
      </c>
      <c r="I43" s="30">
        <v>1252</v>
      </c>
      <c r="J43" s="30">
        <v>1263</v>
      </c>
      <c r="K43" s="30">
        <f>1196</f>
        <v>1196</v>
      </c>
      <c r="L43" s="30">
        <f>1321</f>
        <v>1321</v>
      </c>
      <c r="M43" s="30">
        <f>1508</f>
        <v>1508</v>
      </c>
      <c r="N43" s="30">
        <f>1655</f>
        <v>1655</v>
      </c>
      <c r="O43" s="30">
        <f>1634+87</f>
        <v>1721</v>
      </c>
      <c r="P43" s="30">
        <f>1902+125</f>
        <v>2027</v>
      </c>
      <c r="Q43" s="30">
        <f>174+1923</f>
        <v>2097</v>
      </c>
      <c r="R43" s="30">
        <f>1865+53</f>
        <v>1918</v>
      </c>
      <c r="S43" s="5">
        <f>1056+115</f>
        <v>1171</v>
      </c>
    </row>
    <row r="44" spans="1:19" ht="12.75">
      <c r="A44" s="46" t="s">
        <v>18</v>
      </c>
      <c r="B44" s="29">
        <f aca="true" t="shared" si="12" ref="B44:S44">SUM(B42:B43)</f>
        <v>867</v>
      </c>
      <c r="C44" s="29">
        <f t="shared" si="12"/>
        <v>789</v>
      </c>
      <c r="D44" s="29">
        <f t="shared" si="12"/>
        <v>915</v>
      </c>
      <c r="E44" s="29">
        <f t="shared" si="12"/>
        <v>982</v>
      </c>
      <c r="F44" s="29">
        <f t="shared" si="12"/>
        <v>1468</v>
      </c>
      <c r="G44" s="29">
        <f t="shared" si="12"/>
        <v>1338</v>
      </c>
      <c r="H44" s="29">
        <f t="shared" si="12"/>
        <v>1295</v>
      </c>
      <c r="I44" s="29">
        <f t="shared" si="12"/>
        <v>1252</v>
      </c>
      <c r="J44" s="29">
        <f t="shared" si="12"/>
        <v>1263</v>
      </c>
      <c r="K44" s="29">
        <f t="shared" si="12"/>
        <v>1196</v>
      </c>
      <c r="L44" s="29">
        <f t="shared" si="12"/>
        <v>1321</v>
      </c>
      <c r="M44" s="29">
        <f t="shared" si="12"/>
        <v>1508</v>
      </c>
      <c r="N44" s="29">
        <f t="shared" si="12"/>
        <v>1655</v>
      </c>
      <c r="O44" s="29">
        <f t="shared" si="12"/>
        <v>1721</v>
      </c>
      <c r="P44" s="29">
        <f t="shared" si="12"/>
        <v>2027</v>
      </c>
      <c r="Q44" s="29">
        <f t="shared" si="12"/>
        <v>2097</v>
      </c>
      <c r="R44" s="29">
        <f t="shared" si="12"/>
        <v>1918</v>
      </c>
      <c r="S44" s="28">
        <f t="shared" si="12"/>
        <v>1171</v>
      </c>
    </row>
    <row r="45" spans="1:20" ht="12.75">
      <c r="A45" s="51" t="s">
        <v>14</v>
      </c>
      <c r="B45" s="35">
        <f aca="true" t="shared" si="13" ref="B45:S45">B44-B67</f>
        <v>-1247</v>
      </c>
      <c r="C45" s="35">
        <f t="shared" si="13"/>
        <v>-1464</v>
      </c>
      <c r="D45" s="35">
        <f t="shared" si="13"/>
        <v>-1301</v>
      </c>
      <c r="E45" s="35">
        <f t="shared" si="13"/>
        <v>-1421</v>
      </c>
      <c r="F45" s="35">
        <f t="shared" si="13"/>
        <v>-965</v>
      </c>
      <c r="G45" s="35">
        <f t="shared" si="13"/>
        <v>-1351</v>
      </c>
      <c r="H45" s="35">
        <f t="shared" si="13"/>
        <v>-1377</v>
      </c>
      <c r="I45" s="35">
        <f t="shared" si="13"/>
        <v>-1619</v>
      </c>
      <c r="J45" s="35">
        <f t="shared" si="13"/>
        <v>-1720</v>
      </c>
      <c r="K45" s="35">
        <f t="shared" si="13"/>
        <v>-1831</v>
      </c>
      <c r="L45" s="35">
        <f t="shared" si="13"/>
        <v>-1761</v>
      </c>
      <c r="M45" s="35">
        <f t="shared" si="13"/>
        <v>-1916</v>
      </c>
      <c r="N45" s="35">
        <f t="shared" si="13"/>
        <v>-1918</v>
      </c>
      <c r="O45" s="35">
        <f t="shared" si="13"/>
        <v>-1873</v>
      </c>
      <c r="P45" s="35">
        <f t="shared" si="13"/>
        <v>-1943</v>
      </c>
      <c r="Q45" s="35">
        <f t="shared" si="13"/>
        <v>-1971</v>
      </c>
      <c r="R45" s="35">
        <f t="shared" si="13"/>
        <v>-2249</v>
      </c>
      <c r="S45" s="34">
        <f t="shared" si="13"/>
        <v>-3528</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c r="D48" s="2"/>
      <c r="E48" s="2"/>
      <c r="F48" s="2"/>
      <c r="G48" s="2"/>
      <c r="H48" s="2"/>
      <c r="I48" s="2"/>
      <c r="J48" s="2"/>
      <c r="K48" s="2"/>
      <c r="L48" s="2"/>
      <c r="M48" s="2"/>
      <c r="N48" s="2"/>
      <c r="O48" s="2"/>
      <c r="P48" s="2"/>
      <c r="Q48" s="2"/>
      <c r="R48" s="2"/>
      <c r="S48" s="5"/>
    </row>
    <row r="49" spans="1:19" ht="25.5">
      <c r="A49" s="47" t="s">
        <v>16</v>
      </c>
      <c r="B49" s="2">
        <f>9+2</f>
        <v>11</v>
      </c>
      <c r="C49" s="2">
        <f>58+3</f>
        <v>61</v>
      </c>
      <c r="D49" s="2">
        <f>63+7</f>
        <v>70</v>
      </c>
      <c r="E49" s="2">
        <f>267+6</f>
        <v>273</v>
      </c>
      <c r="F49" s="2">
        <f>69+173+6</f>
        <v>248</v>
      </c>
      <c r="G49" s="2">
        <v>178</v>
      </c>
      <c r="H49" s="2">
        <f>63+14+10</f>
        <v>87</v>
      </c>
      <c r="I49" s="2">
        <f>42+11+6</f>
        <v>59</v>
      </c>
      <c r="J49" s="2">
        <f>47+15</f>
        <v>62</v>
      </c>
      <c r="K49" s="2">
        <f>42+16</f>
        <v>58</v>
      </c>
      <c r="L49" s="2">
        <f>57+12</f>
        <v>69</v>
      </c>
      <c r="M49" s="2">
        <f>68+10</f>
        <v>78</v>
      </c>
      <c r="N49" s="2">
        <f>36+9829</f>
        <v>9865</v>
      </c>
      <c r="O49" s="2">
        <f>52+8817</f>
        <v>8869</v>
      </c>
      <c r="P49" s="2">
        <f>50</f>
        <v>50</v>
      </c>
      <c r="Q49" s="2">
        <v>55</v>
      </c>
      <c r="R49" s="2">
        <v>87</v>
      </c>
      <c r="S49" s="5">
        <f>102</f>
        <v>102</v>
      </c>
    </row>
    <row r="50" spans="1:19" ht="12.75">
      <c r="A50" s="46" t="s">
        <v>18</v>
      </c>
      <c r="B50" s="29">
        <f aca="true" t="shared" si="14" ref="B50:S50">SUM(B48:B49)</f>
        <v>11</v>
      </c>
      <c r="C50" s="29">
        <f t="shared" si="14"/>
        <v>61</v>
      </c>
      <c r="D50" s="29">
        <f t="shared" si="14"/>
        <v>70</v>
      </c>
      <c r="E50" s="29">
        <f t="shared" si="14"/>
        <v>273</v>
      </c>
      <c r="F50" s="29">
        <f t="shared" si="14"/>
        <v>248</v>
      </c>
      <c r="G50" s="29">
        <f t="shared" si="14"/>
        <v>178</v>
      </c>
      <c r="H50" s="29">
        <f t="shared" si="14"/>
        <v>87</v>
      </c>
      <c r="I50" s="29">
        <f t="shared" si="14"/>
        <v>59</v>
      </c>
      <c r="J50" s="29">
        <f t="shared" si="14"/>
        <v>62</v>
      </c>
      <c r="K50" s="29">
        <f t="shared" si="14"/>
        <v>58</v>
      </c>
      <c r="L50" s="29">
        <f t="shared" si="14"/>
        <v>69</v>
      </c>
      <c r="M50" s="29">
        <f t="shared" si="14"/>
        <v>78</v>
      </c>
      <c r="N50" s="29">
        <f t="shared" si="14"/>
        <v>9865</v>
      </c>
      <c r="O50" s="29">
        <f t="shared" si="14"/>
        <v>8869</v>
      </c>
      <c r="P50" s="29">
        <f t="shared" si="14"/>
        <v>50</v>
      </c>
      <c r="Q50" s="29">
        <f t="shared" si="14"/>
        <v>55</v>
      </c>
      <c r="R50" s="29">
        <f t="shared" si="14"/>
        <v>87</v>
      </c>
      <c r="S50" s="28">
        <f t="shared" si="14"/>
        <v>102</v>
      </c>
    </row>
    <row r="51" spans="1:19" ht="12.75">
      <c r="A51" s="51" t="s">
        <v>14</v>
      </c>
      <c r="B51" s="35">
        <f>B50-B68</f>
        <v>-673</v>
      </c>
      <c r="C51" s="35">
        <f>C50-C68</f>
        <v>-620</v>
      </c>
      <c r="D51" s="35">
        <f>D50-D68</f>
        <v>-831</v>
      </c>
      <c r="E51" s="35">
        <f>E50-E68</f>
        <v>-938</v>
      </c>
      <c r="F51" s="35">
        <f>F50-F68+381</f>
        <v>-923</v>
      </c>
      <c r="G51" s="35">
        <f>G50-G68+438</f>
        <v>-1164</v>
      </c>
      <c r="H51" s="35">
        <f>H50-H68+578</f>
        <v>-1445</v>
      </c>
      <c r="I51" s="35">
        <f>I50-I68+732</f>
        <v>-1525</v>
      </c>
      <c r="J51" s="35">
        <f>J50-J68+931</f>
        <v>-1496</v>
      </c>
      <c r="K51" s="35">
        <f>K50-K68+986</f>
        <v>-1509</v>
      </c>
      <c r="L51" s="35">
        <f>L50-L68+1060</f>
        <v>-1496</v>
      </c>
      <c r="M51" s="35">
        <f>M50-M68+1255</f>
        <v>-1514</v>
      </c>
      <c r="N51" s="35">
        <f>N50-N68+1314</f>
        <v>8049</v>
      </c>
      <c r="O51" s="35">
        <f>O50-O68+1359</f>
        <v>7197</v>
      </c>
      <c r="P51" s="35">
        <f>P50-P68+1526</f>
        <v>-1663</v>
      </c>
      <c r="Q51" s="35">
        <f>Q50-Q68+1509</f>
        <v>-1715</v>
      </c>
      <c r="R51" s="35">
        <f>R50-R68+1754</f>
        <v>-1762</v>
      </c>
      <c r="S51" s="34">
        <f>S50-S68+1990</f>
        <v>-1865</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15" ref="B54:S54">SUM(B18,B24,B30,B36,B42,B48)</f>
        <v>0</v>
      </c>
      <c r="C54" s="66">
        <f t="shared" si="15"/>
        <v>0</v>
      </c>
      <c r="D54" s="66">
        <f t="shared" si="15"/>
        <v>0</v>
      </c>
      <c r="E54" s="66">
        <f t="shared" si="15"/>
        <v>174</v>
      </c>
      <c r="F54" s="66">
        <f t="shared" si="15"/>
        <v>156</v>
      </c>
      <c r="G54" s="66">
        <f t="shared" si="15"/>
        <v>150</v>
      </c>
      <c r="H54" s="66">
        <f t="shared" si="15"/>
        <v>150</v>
      </c>
      <c r="I54" s="66">
        <f t="shared" si="15"/>
        <v>156</v>
      </c>
      <c r="J54" s="66">
        <f t="shared" si="15"/>
        <v>150</v>
      </c>
      <c r="K54" s="66">
        <f t="shared" si="15"/>
        <v>95</v>
      </c>
      <c r="L54" s="66">
        <f t="shared" si="15"/>
        <v>95</v>
      </c>
      <c r="M54" s="66">
        <f t="shared" si="15"/>
        <v>178</v>
      </c>
      <c r="N54" s="66">
        <f t="shared" si="15"/>
        <v>179</v>
      </c>
      <c r="O54" s="66">
        <f t="shared" si="15"/>
        <v>179</v>
      </c>
      <c r="P54" s="66">
        <f t="shared" si="15"/>
        <v>179</v>
      </c>
      <c r="Q54" s="66">
        <f t="shared" si="15"/>
        <v>179</v>
      </c>
      <c r="R54" s="66">
        <f t="shared" si="15"/>
        <v>179</v>
      </c>
      <c r="S54" s="67">
        <f t="shared" si="15"/>
        <v>179</v>
      </c>
    </row>
    <row r="55" spans="1:19" ht="12.75">
      <c r="A55" s="53" t="s">
        <v>11</v>
      </c>
      <c r="B55" s="22">
        <f aca="true" t="shared" si="16" ref="B55:S55">SUM(B19,B25,B31,B37,B43,B49)</f>
        <v>3394</v>
      </c>
      <c r="C55" s="22">
        <f t="shared" si="16"/>
        <v>1844</v>
      </c>
      <c r="D55" s="22">
        <f t="shared" si="16"/>
        <v>2193</v>
      </c>
      <c r="E55" s="22">
        <f t="shared" si="16"/>
        <v>1568</v>
      </c>
      <c r="F55" s="22">
        <f t="shared" si="16"/>
        <v>1726</v>
      </c>
      <c r="G55" s="22">
        <f t="shared" si="16"/>
        <v>1526</v>
      </c>
      <c r="H55" s="22">
        <f t="shared" si="16"/>
        <v>1723</v>
      </c>
      <c r="I55" s="22">
        <f t="shared" si="16"/>
        <v>1448</v>
      </c>
      <c r="J55" s="22">
        <f t="shared" si="16"/>
        <v>1359</v>
      </c>
      <c r="K55" s="22">
        <f t="shared" si="16"/>
        <v>1262</v>
      </c>
      <c r="L55" s="22">
        <f t="shared" si="16"/>
        <v>1892</v>
      </c>
      <c r="M55" s="22">
        <f t="shared" si="16"/>
        <v>1762</v>
      </c>
      <c r="N55" s="22">
        <f t="shared" si="16"/>
        <v>11520</v>
      </c>
      <c r="O55" s="22">
        <f t="shared" si="16"/>
        <v>10597</v>
      </c>
      <c r="P55" s="22">
        <f t="shared" si="16"/>
        <v>2128</v>
      </c>
      <c r="Q55" s="22">
        <f t="shared" si="16"/>
        <v>2198</v>
      </c>
      <c r="R55" s="22">
        <f t="shared" si="16"/>
        <v>2050</v>
      </c>
      <c r="S55" s="21">
        <f t="shared" si="16"/>
        <v>1322</v>
      </c>
    </row>
    <row r="56" spans="1:19" ht="25.5">
      <c r="A56" s="54" t="s">
        <v>10</v>
      </c>
      <c r="B56" s="20">
        <f aca="true" t="shared" si="17" ref="B56:S56">SUM(B20,B26,B32,B38,B44,B50)</f>
        <v>3394</v>
      </c>
      <c r="C56" s="20">
        <f t="shared" si="17"/>
        <v>1844</v>
      </c>
      <c r="D56" s="20">
        <f t="shared" si="17"/>
        <v>2193</v>
      </c>
      <c r="E56" s="20">
        <f t="shared" si="17"/>
        <v>1742</v>
      </c>
      <c r="F56" s="20">
        <f t="shared" si="17"/>
        <v>1882</v>
      </c>
      <c r="G56" s="20">
        <f t="shared" si="17"/>
        <v>1676</v>
      </c>
      <c r="H56" s="20">
        <f t="shared" si="17"/>
        <v>1873</v>
      </c>
      <c r="I56" s="20">
        <f t="shared" si="17"/>
        <v>1604</v>
      </c>
      <c r="J56" s="20">
        <f t="shared" si="17"/>
        <v>1509</v>
      </c>
      <c r="K56" s="20">
        <f t="shared" si="17"/>
        <v>1357</v>
      </c>
      <c r="L56" s="20">
        <f t="shared" si="17"/>
        <v>1987</v>
      </c>
      <c r="M56" s="20">
        <f t="shared" si="17"/>
        <v>1940</v>
      </c>
      <c r="N56" s="20">
        <f t="shared" si="17"/>
        <v>11699</v>
      </c>
      <c r="O56" s="20">
        <f t="shared" si="17"/>
        <v>10776</v>
      </c>
      <c r="P56" s="20">
        <f t="shared" si="17"/>
        <v>2307</v>
      </c>
      <c r="Q56" s="20">
        <f t="shared" si="17"/>
        <v>2377</v>
      </c>
      <c r="R56" s="20">
        <f t="shared" si="17"/>
        <v>2229</v>
      </c>
      <c r="S56" s="19">
        <f t="shared" si="17"/>
        <v>1501</v>
      </c>
    </row>
    <row r="57" spans="1:19" ht="12.75">
      <c r="A57" s="55" t="s">
        <v>9</v>
      </c>
      <c r="B57" s="71">
        <f aca="true" t="shared" si="18" ref="B57:S57">SUM(B21,B27,B33,B39,B45,B51)</f>
        <v>-2745</v>
      </c>
      <c r="C57" s="71">
        <f t="shared" si="18"/>
        <v>-2453</v>
      </c>
      <c r="D57" s="71">
        <f t="shared" si="18"/>
        <v>-1945</v>
      </c>
      <c r="E57" s="71">
        <f t="shared" si="18"/>
        <v>-2451</v>
      </c>
      <c r="F57" s="71">
        <f t="shared" si="18"/>
        <v>-1903</v>
      </c>
      <c r="G57" s="71">
        <f t="shared" si="18"/>
        <v>-2492</v>
      </c>
      <c r="H57" s="71">
        <f t="shared" si="18"/>
        <v>-2698</v>
      </c>
      <c r="I57" s="71">
        <f t="shared" si="18"/>
        <v>-3328</v>
      </c>
      <c r="J57" s="71">
        <f t="shared" si="18"/>
        <v>-3457</v>
      </c>
      <c r="K57" s="71">
        <f t="shared" si="18"/>
        <v>-3513</v>
      </c>
      <c r="L57" s="71">
        <f t="shared" si="18"/>
        <v>-2943</v>
      </c>
      <c r="M57" s="71">
        <f t="shared" si="18"/>
        <v>-3363</v>
      </c>
      <c r="N57" s="71">
        <f t="shared" si="18"/>
        <v>6079</v>
      </c>
      <c r="O57" s="71">
        <f t="shared" si="18"/>
        <v>5287</v>
      </c>
      <c r="P57" s="71">
        <f t="shared" si="18"/>
        <v>-3686</v>
      </c>
      <c r="Q57" s="71">
        <f t="shared" si="18"/>
        <v>-3846</v>
      </c>
      <c r="R57" s="71">
        <f t="shared" si="18"/>
        <v>-4239</v>
      </c>
      <c r="S57" s="18">
        <f t="shared" si="18"/>
        <v>-5663</v>
      </c>
    </row>
    <row r="58" spans="1:19" ht="12.75">
      <c r="A58" s="56" t="s">
        <v>8</v>
      </c>
      <c r="B58" s="17">
        <f aca="true" t="shared" si="19" ref="B58:S58">B59-B55-B15</f>
        <v>12573</v>
      </c>
      <c r="C58" s="17">
        <f t="shared" si="19"/>
        <v>19325</v>
      </c>
      <c r="D58" s="17">
        <f t="shared" si="19"/>
        <v>22632</v>
      </c>
      <c r="E58" s="17">
        <f t="shared" si="19"/>
        <v>23987</v>
      </c>
      <c r="F58" s="17">
        <f t="shared" si="19"/>
        <v>23742</v>
      </c>
      <c r="G58" s="17">
        <f t="shared" si="19"/>
        <v>25707</v>
      </c>
      <c r="H58" s="17">
        <f t="shared" si="19"/>
        <v>27733</v>
      </c>
      <c r="I58" s="17">
        <f t="shared" si="19"/>
        <v>22772</v>
      </c>
      <c r="J58" s="17">
        <f t="shared" si="19"/>
        <v>22941</v>
      </c>
      <c r="K58" s="17">
        <f t="shared" si="19"/>
        <v>26565</v>
      </c>
      <c r="L58" s="17">
        <f t="shared" si="19"/>
        <v>25686</v>
      </c>
      <c r="M58" s="17">
        <f t="shared" si="19"/>
        <v>31233</v>
      </c>
      <c r="N58" s="17">
        <f t="shared" si="19"/>
        <v>22325</v>
      </c>
      <c r="O58" s="17">
        <f t="shared" si="19"/>
        <v>21361</v>
      </c>
      <c r="P58" s="17">
        <f t="shared" si="19"/>
        <v>30413</v>
      </c>
      <c r="Q58" s="17">
        <f t="shared" si="19"/>
        <v>32491</v>
      </c>
      <c r="R58" s="17">
        <f t="shared" si="19"/>
        <v>41627</v>
      </c>
      <c r="S58" s="16">
        <f t="shared" si="19"/>
        <v>49628</v>
      </c>
    </row>
    <row r="59" spans="1:19" ht="12.75">
      <c r="A59" s="57" t="s">
        <v>7</v>
      </c>
      <c r="B59" s="7">
        <v>20490</v>
      </c>
      <c r="C59" s="7">
        <v>25702</v>
      </c>
      <c r="D59" s="7">
        <v>29209</v>
      </c>
      <c r="E59" s="7">
        <v>30085</v>
      </c>
      <c r="F59" s="7">
        <v>30024</v>
      </c>
      <c r="G59" s="7">
        <v>31765</v>
      </c>
      <c r="H59" s="7">
        <v>33407</v>
      </c>
      <c r="I59" s="7">
        <v>27892</v>
      </c>
      <c r="J59" s="7">
        <v>27892</v>
      </c>
      <c r="K59" s="7">
        <v>31305</v>
      </c>
      <c r="L59" s="7">
        <v>30924</v>
      </c>
      <c r="M59" s="7">
        <v>36094</v>
      </c>
      <c r="N59" s="7">
        <v>38085</v>
      </c>
      <c r="O59" s="7">
        <v>36259</v>
      </c>
      <c r="P59" s="7">
        <v>36925</v>
      </c>
      <c r="Q59" s="7">
        <v>39491</v>
      </c>
      <c r="R59" s="7">
        <v>49699</v>
      </c>
      <c r="S59" s="6">
        <v>57129</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100+389+2</f>
        <v>491</v>
      </c>
      <c r="C62" s="2">
        <f>100+372+10</f>
        <v>482</v>
      </c>
      <c r="D62" s="2">
        <f>357+12+100+102</f>
        <v>571</v>
      </c>
      <c r="E62" s="2">
        <f>371+12+150+174</f>
        <v>707</v>
      </c>
      <c r="F62" s="2">
        <f>368+100</f>
        <v>468</v>
      </c>
      <c r="G62" s="2">
        <f>396+130</f>
        <v>526</v>
      </c>
      <c r="H62" s="2">
        <f>381+175</f>
        <v>556</v>
      </c>
      <c r="I62" s="2">
        <f>410+170</f>
        <v>580</v>
      </c>
      <c r="J62" s="2">
        <f>423+180</f>
        <v>603</v>
      </c>
      <c r="K62" s="2">
        <f>384+1706</f>
        <v>2090</v>
      </c>
      <c r="L62" s="2">
        <f>191+417</f>
        <v>608</v>
      </c>
      <c r="M62" s="2">
        <f>405+9904</f>
        <v>10309</v>
      </c>
      <c r="N62" s="2">
        <f>302+452</f>
        <v>754</v>
      </c>
      <c r="O62" s="2">
        <f>402+458</f>
        <v>860</v>
      </c>
      <c r="P62" s="2">
        <f>504+432</f>
        <v>936</v>
      </c>
      <c r="Q62" s="2">
        <f>437+385</f>
        <v>822</v>
      </c>
      <c r="R62" s="2">
        <f>433+774</f>
        <v>1207</v>
      </c>
      <c r="S62" s="5">
        <f>438+808</f>
        <v>1246</v>
      </c>
    </row>
    <row r="63" spans="1:19" ht="12.75">
      <c r="A63" s="58" t="s">
        <v>37</v>
      </c>
      <c r="B63" s="15">
        <f>69</f>
        <v>69</v>
      </c>
      <c r="C63" s="15">
        <f>73</f>
        <v>73</v>
      </c>
      <c r="D63" s="15">
        <f>28</f>
        <v>28</v>
      </c>
      <c r="E63" s="15">
        <f>34</f>
        <v>34</v>
      </c>
      <c r="F63" s="15">
        <v>107</v>
      </c>
      <c r="G63" s="91">
        <v>110</v>
      </c>
      <c r="H63" s="91">
        <f>261</f>
        <v>261</v>
      </c>
      <c r="I63" s="91">
        <f>383</f>
        <v>383</v>
      </c>
      <c r="J63" s="91">
        <f>465</f>
        <v>465</v>
      </c>
      <c r="K63" s="91">
        <f>414</f>
        <v>414</v>
      </c>
      <c r="L63" s="91">
        <f>493</f>
        <v>493</v>
      </c>
      <c r="M63" s="91">
        <f>582</f>
        <v>582</v>
      </c>
      <c r="N63" s="91">
        <f>603</f>
        <v>603</v>
      </c>
      <c r="O63" s="91">
        <f>443</f>
        <v>443</v>
      </c>
      <c r="P63" s="91">
        <f>640</f>
        <v>640</v>
      </c>
      <c r="Q63" s="91">
        <f>887</f>
        <v>887</v>
      </c>
      <c r="R63" s="91">
        <v>1071</v>
      </c>
      <c r="S63" s="111">
        <f>1453</f>
        <v>1453</v>
      </c>
    </row>
    <row r="64" spans="1:19" ht="25.5" hidden="1" outlineLevel="1">
      <c r="A64" s="118" t="s">
        <v>52</v>
      </c>
      <c r="B64" s="119"/>
      <c r="C64" s="119"/>
      <c r="D64" s="119"/>
      <c r="E64" s="119"/>
      <c r="F64" s="119"/>
      <c r="G64" s="119"/>
      <c r="H64" s="119"/>
      <c r="I64" s="119"/>
      <c r="J64" s="119"/>
      <c r="K64" s="119"/>
      <c r="L64" s="119"/>
      <c r="M64" s="119"/>
      <c r="N64" s="119"/>
      <c r="O64" s="119"/>
      <c r="P64" s="119"/>
      <c r="Q64" s="119"/>
      <c r="R64" s="119"/>
      <c r="S64" s="122"/>
    </row>
    <row r="65" spans="1:19" ht="12.75" customHeight="1" hidden="1" outlineLevel="1">
      <c r="A65" s="60" t="s">
        <v>5</v>
      </c>
      <c r="B65" s="11"/>
      <c r="C65" s="11"/>
      <c r="D65" s="11"/>
      <c r="E65" s="11"/>
      <c r="F65" s="11"/>
      <c r="G65" s="11"/>
      <c r="H65" s="11"/>
      <c r="I65" s="11"/>
      <c r="J65" s="11"/>
      <c r="K65" s="11"/>
      <c r="L65" s="11"/>
      <c r="M65" s="11"/>
      <c r="N65" s="11"/>
      <c r="O65" s="11"/>
      <c r="P65" s="11"/>
      <c r="Q65" s="11"/>
      <c r="R65" s="11"/>
      <c r="S65" s="10"/>
    </row>
    <row r="66" spans="1:19" ht="12.75" collapsed="1">
      <c r="A66" s="118" t="s">
        <v>42</v>
      </c>
      <c r="B66" s="119">
        <f>3341</f>
        <v>3341</v>
      </c>
      <c r="C66" s="119">
        <f>617+746</f>
        <v>1363</v>
      </c>
      <c r="D66" s="119">
        <f>437+584</f>
        <v>1021</v>
      </c>
      <c r="E66" s="119">
        <f>435+144</f>
        <v>579</v>
      </c>
      <c r="F66" s="119">
        <f>181</f>
        <v>181</v>
      </c>
      <c r="G66" s="119">
        <f>137</f>
        <v>137</v>
      </c>
      <c r="H66" s="119">
        <f>367</f>
        <v>367</v>
      </c>
      <c r="I66" s="119">
        <f>477</f>
        <v>477</v>
      </c>
      <c r="J66" s="119">
        <f>425</f>
        <v>425</v>
      </c>
      <c r="K66" s="119">
        <f>276</f>
        <v>276</v>
      </c>
      <c r="L66" s="119">
        <f>283</f>
        <v>283</v>
      </c>
      <c r="M66" s="119">
        <f>287</f>
        <v>287</v>
      </c>
      <c r="N66" s="119">
        <f>231</f>
        <v>231</v>
      </c>
      <c r="O66" s="119">
        <f>223</f>
        <v>223</v>
      </c>
      <c r="P66" s="119">
        <f>310</f>
        <v>310</v>
      </c>
      <c r="Q66" s="119">
        <f>385</f>
        <v>385</v>
      </c>
      <c r="R66" s="119">
        <v>452</v>
      </c>
      <c r="S66" s="122">
        <f>498</f>
        <v>498</v>
      </c>
    </row>
    <row r="67" spans="1:19" ht="13.5" customHeight="1">
      <c r="A67" s="117" t="s">
        <v>50</v>
      </c>
      <c r="B67" s="120">
        <f>514+447+1153</f>
        <v>2114</v>
      </c>
      <c r="C67" s="120">
        <f>468+486+1299</f>
        <v>2253</v>
      </c>
      <c r="D67" s="120">
        <f>505+1176+535</f>
        <v>2216</v>
      </c>
      <c r="E67" s="120">
        <f>543+1306+554</f>
        <v>2403</v>
      </c>
      <c r="F67" s="120">
        <f>508+1925</f>
        <v>2433</v>
      </c>
      <c r="G67" s="120">
        <f>529+2160</f>
        <v>2689</v>
      </c>
      <c r="H67" s="120">
        <f>536+2136</f>
        <v>2672</v>
      </c>
      <c r="I67" s="120">
        <f>2006+865</f>
        <v>2871</v>
      </c>
      <c r="J67" s="120">
        <f>2218+765</f>
        <v>2983</v>
      </c>
      <c r="K67" s="120">
        <f>2133+894</f>
        <v>3027</v>
      </c>
      <c r="L67" s="120">
        <f>1061+2021</f>
        <v>3082</v>
      </c>
      <c r="M67" s="120">
        <f>1009+2415</f>
        <v>3424</v>
      </c>
      <c r="N67" s="120">
        <f>2479+1094</f>
        <v>3573</v>
      </c>
      <c r="O67" s="120">
        <f>1094+2500</f>
        <v>3594</v>
      </c>
      <c r="P67" s="120">
        <f>1342+2628</f>
        <v>3970</v>
      </c>
      <c r="Q67" s="120">
        <f>1372+2696</f>
        <v>4068</v>
      </c>
      <c r="R67" s="120">
        <f>2793+1374</f>
        <v>4167</v>
      </c>
      <c r="S67" s="123">
        <f>3095+1604</f>
        <v>4699</v>
      </c>
    </row>
    <row r="68" spans="1:19" ht="12.75">
      <c r="A68" s="117" t="s">
        <v>41</v>
      </c>
      <c r="B68" s="119">
        <f>245+439</f>
        <v>684</v>
      </c>
      <c r="C68" s="119">
        <f>292+389</f>
        <v>681</v>
      </c>
      <c r="D68" s="119">
        <f>327+574</f>
        <v>901</v>
      </c>
      <c r="E68" s="119">
        <f>333+878</f>
        <v>1211</v>
      </c>
      <c r="F68" s="119">
        <f>381+856+315</f>
        <v>1552</v>
      </c>
      <c r="G68" s="119">
        <f>1007+335+438</f>
        <v>1780</v>
      </c>
      <c r="H68" s="119">
        <f>1204+328+578</f>
        <v>2110</v>
      </c>
      <c r="I68" s="119">
        <f>1228+356+732</f>
        <v>2316</v>
      </c>
      <c r="J68" s="119">
        <f>1171+387+931</f>
        <v>2489</v>
      </c>
      <c r="K68" s="119">
        <f>1165+402+986</f>
        <v>2553</v>
      </c>
      <c r="L68" s="119">
        <f>1254+311+1060</f>
        <v>2625</v>
      </c>
      <c r="M68" s="119">
        <f>1240+352+1255</f>
        <v>2847</v>
      </c>
      <c r="N68" s="119">
        <f>1469+347+1314</f>
        <v>3130</v>
      </c>
      <c r="O68" s="119">
        <f>373+1299+1359</f>
        <v>3031</v>
      </c>
      <c r="P68" s="119">
        <f>1526+1713</f>
        <v>3239</v>
      </c>
      <c r="Q68" s="119">
        <f>1770+1509</f>
        <v>3279</v>
      </c>
      <c r="R68" s="119">
        <f>1849+1754</f>
        <v>3603</v>
      </c>
      <c r="S68" s="122">
        <f>1967+1990</f>
        <v>3957</v>
      </c>
    </row>
    <row r="69" spans="1:19" ht="51">
      <c r="A69" s="61" t="s">
        <v>4</v>
      </c>
      <c r="B69" s="9">
        <f>13214-SUM(B62:B68)</f>
        <v>6515</v>
      </c>
      <c r="C69" s="9">
        <f>12323-SUM(C62:C68)</f>
        <v>7471</v>
      </c>
      <c r="D69" s="9">
        <f>11493-SUM(D62:D68)</f>
        <v>6756</v>
      </c>
      <c r="E69" s="9">
        <f>8445-SUM(E62:E68)</f>
        <v>3511</v>
      </c>
      <c r="F69" s="9">
        <f>8031-SUM(F62:F68)</f>
        <v>3290</v>
      </c>
      <c r="G69" s="9">
        <f>7565-SUM(G62:G68)</f>
        <v>2323</v>
      </c>
      <c r="H69" s="9">
        <f>7501-SUM(H62:H68)</f>
        <v>1535</v>
      </c>
      <c r="I69" s="9">
        <f>7839-SUM(I62:I68)</f>
        <v>1212</v>
      </c>
      <c r="J69" s="9">
        <f>8243-SUM(J62:J68)</f>
        <v>1278</v>
      </c>
      <c r="K69" s="9">
        <f>9396-SUM(K62:K68)</f>
        <v>1036</v>
      </c>
      <c r="L69" s="9">
        <f>8372-SUM(L62:L68)</f>
        <v>1281</v>
      </c>
      <c r="M69" s="9">
        <f>18878-SUM(M62:M68)</f>
        <v>1429</v>
      </c>
      <c r="N69" s="9">
        <f>9673-SUM(N62:N68)</f>
        <v>1382</v>
      </c>
      <c r="O69" s="9">
        <f>9651-SUM(O62:O68)</f>
        <v>1500</v>
      </c>
      <c r="P69" s="9">
        <f>10475-SUM(P62:P68)</f>
        <v>1380</v>
      </c>
      <c r="Q69" s="9">
        <f>10807-SUM(Q62:Q68)</f>
        <v>1366</v>
      </c>
      <c r="R69" s="9">
        <f>12091-SUM(R62:R68)</f>
        <v>1591</v>
      </c>
      <c r="S69" s="8">
        <f>13611-SUM(S62:S68)</f>
        <v>1758</v>
      </c>
    </row>
    <row r="70" spans="1:19" ht="25.5">
      <c r="A70" s="61" t="s">
        <v>3</v>
      </c>
      <c r="B70" s="9">
        <f>B72-13214</f>
        <v>4886</v>
      </c>
      <c r="C70" s="9">
        <f>C72-12323</f>
        <v>8920</v>
      </c>
      <c r="D70" s="9">
        <f>D72-11493</f>
        <v>8851</v>
      </c>
      <c r="E70" s="9">
        <f>E72-8445</f>
        <v>11306</v>
      </c>
      <c r="F70" s="9">
        <f>F72-8031</f>
        <v>12235</v>
      </c>
      <c r="G70" s="9">
        <f>G72-7565</f>
        <v>14754</v>
      </c>
      <c r="H70" s="9">
        <f>H72-SUM(7501)</f>
        <v>14255</v>
      </c>
      <c r="I70" s="9">
        <f>I72-7839</f>
        <v>14490</v>
      </c>
      <c r="J70" s="9">
        <f>J72-8243</f>
        <v>14086</v>
      </c>
      <c r="K70" s="9">
        <f>K72-9396</f>
        <v>15242</v>
      </c>
      <c r="L70" s="9">
        <f>L72-8372</f>
        <v>17706</v>
      </c>
      <c r="M70" s="9">
        <f>M72-18878</f>
        <v>21153</v>
      </c>
      <c r="N70" s="9">
        <f>N72-9673</f>
        <v>22930</v>
      </c>
      <c r="O70" s="9">
        <f>O72-9651</f>
        <v>24238</v>
      </c>
      <c r="P70" s="9">
        <f>P72-10475</f>
        <v>25665</v>
      </c>
      <c r="Q70" s="9">
        <f>Q72-10807</f>
        <v>26236</v>
      </c>
      <c r="R70" s="9">
        <f>R72-12091</f>
        <v>29410</v>
      </c>
      <c r="S70" s="8">
        <f>S72-13611</f>
        <v>34694</v>
      </c>
    </row>
    <row r="71" spans="1:19" ht="63.75">
      <c r="A71" s="47" t="s">
        <v>2</v>
      </c>
      <c r="B71" s="74">
        <f aca="true" t="shared" si="20" ref="B71:S71">B72-SUM(B62:B68)</f>
        <v>11401</v>
      </c>
      <c r="C71" s="74">
        <f t="shared" si="20"/>
        <v>16391</v>
      </c>
      <c r="D71" s="74">
        <f t="shared" si="20"/>
        <v>15607</v>
      </c>
      <c r="E71" s="74">
        <f t="shared" si="20"/>
        <v>14817</v>
      </c>
      <c r="F71" s="74">
        <f t="shared" si="20"/>
        <v>15525</v>
      </c>
      <c r="G71" s="74">
        <f t="shared" si="20"/>
        <v>17077</v>
      </c>
      <c r="H71" s="74">
        <f t="shared" si="20"/>
        <v>15790</v>
      </c>
      <c r="I71" s="74">
        <f t="shared" si="20"/>
        <v>15702</v>
      </c>
      <c r="J71" s="74">
        <f t="shared" si="20"/>
        <v>15364</v>
      </c>
      <c r="K71" s="74">
        <f t="shared" si="20"/>
        <v>16278</v>
      </c>
      <c r="L71" s="74">
        <f t="shared" si="20"/>
        <v>18987</v>
      </c>
      <c r="M71" s="74">
        <f t="shared" si="20"/>
        <v>22582</v>
      </c>
      <c r="N71" s="74">
        <f t="shared" si="20"/>
        <v>24312</v>
      </c>
      <c r="O71" s="74">
        <f t="shared" si="20"/>
        <v>25738</v>
      </c>
      <c r="P71" s="74">
        <f t="shared" si="20"/>
        <v>27045</v>
      </c>
      <c r="Q71" s="74">
        <f t="shared" si="20"/>
        <v>27602</v>
      </c>
      <c r="R71" s="74">
        <f t="shared" si="20"/>
        <v>31001</v>
      </c>
      <c r="S71" s="75">
        <f t="shared" si="20"/>
        <v>36452</v>
      </c>
    </row>
    <row r="72" spans="1:19" ht="12.75">
      <c r="A72" s="57" t="s">
        <v>1</v>
      </c>
      <c r="B72" s="7">
        <v>18100</v>
      </c>
      <c r="C72" s="7">
        <v>21243</v>
      </c>
      <c r="D72" s="7">
        <v>20344</v>
      </c>
      <c r="E72" s="7">
        <v>19751</v>
      </c>
      <c r="F72" s="7">
        <v>20266</v>
      </c>
      <c r="G72" s="7">
        <v>22319</v>
      </c>
      <c r="H72" s="7">
        <v>21756</v>
      </c>
      <c r="I72" s="7">
        <v>22329</v>
      </c>
      <c r="J72" s="7">
        <v>22329</v>
      </c>
      <c r="K72" s="7">
        <v>24638</v>
      </c>
      <c r="L72" s="7">
        <v>26078</v>
      </c>
      <c r="M72" s="7">
        <v>40031</v>
      </c>
      <c r="N72" s="7">
        <v>32603</v>
      </c>
      <c r="O72" s="7">
        <v>33889</v>
      </c>
      <c r="P72" s="7">
        <v>36140</v>
      </c>
      <c r="Q72" s="7">
        <v>37043</v>
      </c>
      <c r="R72" s="7">
        <v>41501</v>
      </c>
      <c r="S72" s="6">
        <f>48305</f>
        <v>48305</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23885</v>
      </c>
      <c r="C74" s="4">
        <v>29575</v>
      </c>
      <c r="D74" s="4">
        <v>35642</v>
      </c>
      <c r="E74" s="4">
        <v>42332</v>
      </c>
      <c r="F74" s="4">
        <v>49455</v>
      </c>
      <c r="G74" s="4">
        <v>57996</v>
      </c>
      <c r="H74" s="4">
        <v>67701</v>
      </c>
      <c r="I74" s="4">
        <v>71655</v>
      </c>
      <c r="J74" s="4">
        <v>71655</v>
      </c>
      <c r="K74" s="4">
        <v>77285</v>
      </c>
      <c r="L74" s="4">
        <v>80398</v>
      </c>
      <c r="M74" s="4">
        <v>79164</v>
      </c>
      <c r="N74" s="4">
        <v>83315</v>
      </c>
      <c r="O74" s="4">
        <v>85389</v>
      </c>
      <c r="P74" s="4">
        <v>105844</v>
      </c>
      <c r="Q74" s="4">
        <v>107077</v>
      </c>
      <c r="R74" s="4">
        <v>111605</v>
      </c>
      <c r="S74" s="3">
        <v>132113</v>
      </c>
    </row>
    <row r="75" ht="12.75"/>
    <row r="76" ht="12.75"/>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pane xSplit="1" ySplit="2" topLeftCell="B21" activePane="bottomRight" state="frozen"/>
      <selection pane="topLeft" activeCell="W28" sqref="W28"/>
      <selection pane="topRight" activeCell="W28" sqref="W28"/>
      <selection pane="bottomLeft" activeCell="W28" sqref="W28"/>
      <selection pane="bottomRight" activeCell="E61" sqref="E61"/>
    </sheetView>
  </sheetViews>
  <sheetFormatPr defaultColWidth="9.140625" defaultRowHeight="15"/>
  <cols>
    <col min="1" max="1" width="32.421875" style="2" customWidth="1"/>
    <col min="2" max="4" width="9.140625" style="1" customWidth="1"/>
    <col min="5" max="5" width="9.28125" style="1" bestFit="1" customWidth="1"/>
    <col min="6" max="16384" width="9.140625" style="1" customWidth="1"/>
  </cols>
  <sheetData>
    <row r="1" spans="1:20" ht="12.75">
      <c r="A1" s="21"/>
      <c r="B1" s="482" t="s">
        <v>225</v>
      </c>
      <c r="C1" s="483"/>
      <c r="D1" s="483"/>
      <c r="E1" s="483"/>
      <c r="F1" s="483"/>
      <c r="G1" s="483"/>
      <c r="H1" s="483"/>
      <c r="I1" s="483"/>
      <c r="J1" s="483"/>
      <c r="K1" s="483"/>
      <c r="L1" s="483"/>
      <c r="M1" s="483"/>
      <c r="N1" s="483"/>
      <c r="O1" s="483"/>
      <c r="P1" s="483"/>
      <c r="Q1" s="483"/>
      <c r="R1" s="483"/>
      <c r="S1" s="483"/>
      <c r="T1" s="484"/>
    </row>
    <row r="2" spans="1:19" ht="12.75">
      <c r="A2" s="43"/>
      <c r="B2" s="143">
        <v>1991</v>
      </c>
      <c r="C2" s="143">
        <v>1992</v>
      </c>
      <c r="D2" s="176">
        <v>1993</v>
      </c>
      <c r="E2" s="176">
        <v>1994</v>
      </c>
      <c r="F2" s="143">
        <v>1995</v>
      </c>
      <c r="G2" s="143">
        <v>1996</v>
      </c>
      <c r="H2" s="143">
        <v>1997</v>
      </c>
      <c r="I2" s="143">
        <v>1998</v>
      </c>
      <c r="J2" s="143">
        <v>1999</v>
      </c>
      <c r="K2" s="143">
        <v>2000</v>
      </c>
      <c r="L2" s="43">
        <v>2001</v>
      </c>
      <c r="M2" s="44">
        <v>2002</v>
      </c>
      <c r="N2" s="44">
        <v>2003</v>
      </c>
      <c r="O2" s="44">
        <v>2004</v>
      </c>
      <c r="P2" s="44">
        <v>2005</v>
      </c>
      <c r="Q2" s="44">
        <v>2006</v>
      </c>
      <c r="R2" s="44">
        <v>2007</v>
      </c>
      <c r="S2" s="43">
        <v>2008</v>
      </c>
    </row>
    <row r="3" spans="1:19" ht="12.75">
      <c r="A3" s="45" t="s">
        <v>32</v>
      </c>
      <c r="B3" s="143" t="s">
        <v>220</v>
      </c>
      <c r="C3" s="143" t="s">
        <v>220</v>
      </c>
      <c r="D3" s="143" t="s">
        <v>220</v>
      </c>
      <c r="E3" s="143" t="s">
        <v>220</v>
      </c>
      <c r="F3" s="143" t="s">
        <v>220</v>
      </c>
      <c r="G3" s="143" t="s">
        <v>220</v>
      </c>
      <c r="H3" s="143" t="s">
        <v>220</v>
      </c>
      <c r="I3" s="143" t="s">
        <v>220</v>
      </c>
      <c r="J3" s="143" t="s">
        <v>220</v>
      </c>
      <c r="K3" s="143" t="s">
        <v>220</v>
      </c>
      <c r="L3" s="43" t="s">
        <v>220</v>
      </c>
      <c r="M3" s="44" t="s">
        <v>31</v>
      </c>
      <c r="N3" s="44" t="s">
        <v>31</v>
      </c>
      <c r="O3" s="44" t="s">
        <v>31</v>
      </c>
      <c r="P3" s="44" t="s">
        <v>31</v>
      </c>
      <c r="Q3" s="44" t="s">
        <v>31</v>
      </c>
      <c r="R3" s="44" t="s">
        <v>31</v>
      </c>
      <c r="S3" s="43" t="s">
        <v>31</v>
      </c>
    </row>
    <row r="4" spans="1:19" ht="12.75">
      <c r="A4" s="46" t="s">
        <v>30</v>
      </c>
      <c r="B4" s="30"/>
      <c r="C4" s="30"/>
      <c r="D4" s="30"/>
      <c r="E4" s="30"/>
      <c r="F4" s="30"/>
      <c r="G4" s="30"/>
      <c r="H4" s="30"/>
      <c r="I4" s="30"/>
      <c r="J4" s="30"/>
      <c r="K4" s="30"/>
      <c r="L4" s="5"/>
      <c r="M4" s="42"/>
      <c r="N4" s="42"/>
      <c r="O4" s="42"/>
      <c r="P4" s="42"/>
      <c r="Q4" s="42"/>
      <c r="R4" s="42"/>
      <c r="S4" s="28"/>
    </row>
    <row r="5" spans="1:19" ht="12.75">
      <c r="A5" s="47" t="s">
        <v>29</v>
      </c>
      <c r="B5" s="30"/>
      <c r="C5" s="30">
        <v>8556</v>
      </c>
      <c r="D5" s="30">
        <v>8150</v>
      </c>
      <c r="E5" s="30">
        <v>9884</v>
      </c>
      <c r="F5" s="30">
        <v>10386</v>
      </c>
      <c r="G5" s="30">
        <v>11157</v>
      </c>
      <c r="H5" s="30">
        <v>11354</v>
      </c>
      <c r="I5" s="30">
        <v>12096</v>
      </c>
      <c r="J5" s="30">
        <v>12533</v>
      </c>
      <c r="K5" s="30">
        <v>13247</v>
      </c>
      <c r="L5" s="5">
        <v>13932</v>
      </c>
      <c r="M5" s="2">
        <v>14672</v>
      </c>
      <c r="N5" s="2">
        <v>15953</v>
      </c>
      <c r="O5" s="2">
        <v>17804</v>
      </c>
      <c r="P5" s="2">
        <v>19182</v>
      </c>
      <c r="Q5" s="2">
        <v>20676</v>
      </c>
      <c r="R5" s="2">
        <v>22339</v>
      </c>
      <c r="S5" s="5">
        <v>23698</v>
      </c>
    </row>
    <row r="6" spans="1:19" ht="12.75">
      <c r="A6" s="47" t="s">
        <v>28</v>
      </c>
      <c r="B6" s="30"/>
      <c r="C6" s="30"/>
      <c r="D6" s="30"/>
      <c r="E6" s="30"/>
      <c r="F6" s="30"/>
      <c r="G6" s="30"/>
      <c r="H6" s="30"/>
      <c r="I6" s="30"/>
      <c r="J6" s="30"/>
      <c r="K6" s="30"/>
      <c r="L6" s="5"/>
      <c r="M6" s="2"/>
      <c r="N6" s="2"/>
      <c r="O6" s="2"/>
      <c r="P6" s="2"/>
      <c r="Q6" s="2"/>
      <c r="R6" s="2"/>
      <c r="S6" s="5"/>
    </row>
    <row r="7" spans="1:19" ht="12.75">
      <c r="A7" s="47" t="s">
        <v>27</v>
      </c>
      <c r="B7" s="30"/>
      <c r="C7" s="30"/>
      <c r="D7" s="30">
        <f aca="true" t="shared" si="0" ref="D7:J7">D18</f>
        <v>826</v>
      </c>
      <c r="E7" s="30">
        <f t="shared" si="0"/>
        <v>214</v>
      </c>
      <c r="F7" s="30">
        <f t="shared" si="0"/>
        <v>217</v>
      </c>
      <c r="G7" s="30">
        <f t="shared" si="0"/>
        <v>304</v>
      </c>
      <c r="H7" s="30">
        <f t="shared" si="0"/>
        <v>1389</v>
      </c>
      <c r="I7" s="30">
        <f t="shared" si="0"/>
        <v>1501</v>
      </c>
      <c r="J7" s="30">
        <f t="shared" si="0"/>
        <v>1614</v>
      </c>
      <c r="K7" s="162">
        <v>1707</v>
      </c>
      <c r="L7" s="163">
        <v>1765</v>
      </c>
      <c r="M7" s="148">
        <f aca="true" t="shared" si="1" ref="M7:S7">M18</f>
        <v>1744</v>
      </c>
      <c r="N7" s="148">
        <f t="shared" si="1"/>
        <v>2087</v>
      </c>
      <c r="O7" s="2">
        <f t="shared" si="1"/>
        <v>2345</v>
      </c>
      <c r="P7" s="2">
        <f t="shared" si="1"/>
        <v>2419</v>
      </c>
      <c r="Q7" s="2">
        <f t="shared" si="1"/>
        <v>2644</v>
      </c>
      <c r="R7" s="2">
        <f t="shared" si="1"/>
        <v>3513</v>
      </c>
      <c r="S7" s="5">
        <f t="shared" si="1"/>
        <v>4110</v>
      </c>
    </row>
    <row r="8" spans="1:19" ht="12.75">
      <c r="A8" s="47" t="s">
        <v>26</v>
      </c>
      <c r="B8" s="30"/>
      <c r="C8" s="30"/>
      <c r="D8" s="162">
        <v>1475</v>
      </c>
      <c r="E8" s="162">
        <v>927</v>
      </c>
      <c r="F8" s="30">
        <f aca="true" t="shared" si="2" ref="F8:L8">F24</f>
        <v>932</v>
      </c>
      <c r="G8" s="30">
        <f t="shared" si="2"/>
        <v>945</v>
      </c>
      <c r="H8" s="30">
        <f t="shared" si="2"/>
        <v>1354</v>
      </c>
      <c r="I8" s="30">
        <f t="shared" si="2"/>
        <v>1829</v>
      </c>
      <c r="J8" s="30">
        <f t="shared" si="2"/>
        <v>2252</v>
      </c>
      <c r="K8" s="30">
        <f t="shared" si="2"/>
        <v>2411</v>
      </c>
      <c r="L8" s="5">
        <f t="shared" si="2"/>
        <v>2605</v>
      </c>
      <c r="M8" s="2">
        <f aca="true" t="shared" si="3" ref="M8:S8">M24</f>
        <v>2789</v>
      </c>
      <c r="N8" s="2">
        <f t="shared" si="3"/>
        <v>2955</v>
      </c>
      <c r="O8" s="2">
        <f t="shared" si="3"/>
        <v>3248</v>
      </c>
      <c r="P8" s="2">
        <f t="shared" si="3"/>
        <v>3962</v>
      </c>
      <c r="Q8" s="2">
        <f t="shared" si="3"/>
        <v>4446</v>
      </c>
      <c r="R8" s="2">
        <f t="shared" si="3"/>
        <v>5158</v>
      </c>
      <c r="S8" s="5">
        <f t="shared" si="3"/>
        <v>5993</v>
      </c>
    </row>
    <row r="9" spans="1:19" ht="12.75">
      <c r="A9" s="59" t="s">
        <v>35</v>
      </c>
      <c r="B9" s="78">
        <f aca="true" t="shared" si="4" ref="B9:S9">B36</f>
        <v>0</v>
      </c>
      <c r="C9" s="78">
        <f t="shared" si="4"/>
        <v>0</v>
      </c>
      <c r="D9" s="78">
        <f t="shared" si="4"/>
        <v>526</v>
      </c>
      <c r="E9" s="78">
        <f t="shared" si="4"/>
        <v>324</v>
      </c>
      <c r="F9" s="13">
        <f t="shared" si="4"/>
        <v>300</v>
      </c>
      <c r="G9" s="13">
        <f t="shared" si="4"/>
        <v>439</v>
      </c>
      <c r="H9" s="13">
        <f t="shared" si="4"/>
        <v>1109</v>
      </c>
      <c r="I9" s="13">
        <f t="shared" si="4"/>
        <v>1198</v>
      </c>
      <c r="J9" s="13">
        <f t="shared" si="4"/>
        <v>1039</v>
      </c>
      <c r="K9" s="13">
        <f t="shared" si="4"/>
        <v>1140</v>
      </c>
      <c r="L9" s="13">
        <f t="shared" si="4"/>
        <v>1157</v>
      </c>
      <c r="M9" s="13">
        <f t="shared" si="4"/>
        <v>996</v>
      </c>
      <c r="N9" s="13">
        <f t="shared" si="4"/>
        <v>1016</v>
      </c>
      <c r="O9" s="13">
        <f t="shared" si="4"/>
        <v>1068</v>
      </c>
      <c r="P9" s="13">
        <f t="shared" si="4"/>
        <v>1163</v>
      </c>
      <c r="Q9" s="13">
        <f t="shared" si="4"/>
        <v>1581</v>
      </c>
      <c r="R9" s="167">
        <f t="shared" si="4"/>
        <v>1871</v>
      </c>
      <c r="S9" s="12">
        <f t="shared" si="4"/>
        <v>1914</v>
      </c>
    </row>
    <row r="10" spans="1:19" ht="12.75">
      <c r="A10" s="59" t="s">
        <v>43</v>
      </c>
      <c r="B10" s="78">
        <f aca="true" t="shared" si="5" ref="B10:S10">B48</f>
        <v>0</v>
      </c>
      <c r="C10" s="78">
        <f t="shared" si="5"/>
        <v>0</v>
      </c>
      <c r="D10" s="78">
        <f t="shared" si="5"/>
        <v>8</v>
      </c>
      <c r="E10" s="78">
        <f t="shared" si="5"/>
        <v>9</v>
      </c>
      <c r="F10" s="13">
        <f t="shared" si="5"/>
        <v>8</v>
      </c>
      <c r="G10" s="13">
        <f t="shared" si="5"/>
        <v>0</v>
      </c>
      <c r="H10" s="13">
        <f t="shared" si="5"/>
        <v>0</v>
      </c>
      <c r="I10" s="13">
        <f t="shared" si="5"/>
        <v>0</v>
      </c>
      <c r="J10" s="13">
        <f t="shared" si="5"/>
        <v>0</v>
      </c>
      <c r="K10" s="13">
        <f t="shared" si="5"/>
        <v>0</v>
      </c>
      <c r="L10" s="13">
        <f t="shared" si="5"/>
        <v>0</v>
      </c>
      <c r="M10" s="13">
        <f t="shared" si="5"/>
        <v>95</v>
      </c>
      <c r="N10" s="13">
        <f t="shared" si="5"/>
        <v>75</v>
      </c>
      <c r="O10" s="13">
        <f t="shared" si="5"/>
        <v>105</v>
      </c>
      <c r="P10" s="13">
        <f t="shared" si="5"/>
        <v>105</v>
      </c>
      <c r="Q10" s="13">
        <f t="shared" si="5"/>
        <v>319</v>
      </c>
      <c r="R10" s="167">
        <f t="shared" si="5"/>
        <v>337</v>
      </c>
      <c r="S10" s="12">
        <f t="shared" si="5"/>
        <v>343</v>
      </c>
    </row>
    <row r="11" spans="1:19" ht="12.75">
      <c r="A11" s="59" t="s">
        <v>44</v>
      </c>
      <c r="B11" s="78">
        <f aca="true" t="shared" si="6" ref="B11:S11">B42</f>
        <v>0</v>
      </c>
      <c r="C11" s="78">
        <f t="shared" si="6"/>
        <v>0</v>
      </c>
      <c r="D11" s="78">
        <f t="shared" si="6"/>
        <v>0</v>
      </c>
      <c r="E11" s="78">
        <f t="shared" si="6"/>
        <v>0</v>
      </c>
      <c r="F11" s="13">
        <f t="shared" si="6"/>
        <v>0</v>
      </c>
      <c r="G11" s="13">
        <f t="shared" si="6"/>
        <v>0</v>
      </c>
      <c r="H11" s="13">
        <f t="shared" si="6"/>
        <v>0</v>
      </c>
      <c r="I11" s="13">
        <f t="shared" si="6"/>
        <v>53</v>
      </c>
      <c r="J11" s="13">
        <f t="shared" si="6"/>
        <v>0</v>
      </c>
      <c r="K11" s="13">
        <f t="shared" si="6"/>
        <v>0</v>
      </c>
      <c r="L11" s="13">
        <f t="shared" si="6"/>
        <v>0</v>
      </c>
      <c r="M11" s="13">
        <f t="shared" si="6"/>
        <v>0</v>
      </c>
      <c r="N11" s="13">
        <f t="shared" si="6"/>
        <v>0</v>
      </c>
      <c r="O11" s="13">
        <f t="shared" si="6"/>
        <v>0</v>
      </c>
      <c r="P11" s="13">
        <f t="shared" si="6"/>
        <v>0</v>
      </c>
      <c r="Q11" s="13">
        <f t="shared" si="6"/>
        <v>0</v>
      </c>
      <c r="R11" s="167">
        <f t="shared" si="6"/>
        <v>0</v>
      </c>
      <c r="S11" s="12">
        <f t="shared" si="6"/>
        <v>0</v>
      </c>
    </row>
    <row r="12" spans="1:19" ht="12.75">
      <c r="A12" s="47" t="s">
        <v>25</v>
      </c>
      <c r="B12" s="30"/>
      <c r="C12" s="30"/>
      <c r="D12" s="30"/>
      <c r="E12" s="30"/>
      <c r="F12" s="30"/>
      <c r="G12" s="30"/>
      <c r="H12" s="30"/>
      <c r="I12" s="30"/>
      <c r="J12" s="30"/>
      <c r="K12" s="30"/>
      <c r="L12" s="5"/>
      <c r="M12" s="2"/>
      <c r="N12" s="2"/>
      <c r="O12" s="2"/>
      <c r="P12" s="2">
        <f>P30</f>
        <v>218</v>
      </c>
      <c r="Q12" s="2">
        <f>Q30</f>
        <v>785</v>
      </c>
      <c r="R12" s="2">
        <f>R30</f>
        <v>1454</v>
      </c>
      <c r="S12" s="5">
        <f>S30</f>
        <v>1524</v>
      </c>
    </row>
    <row r="13" spans="1:19" ht="12.75">
      <c r="A13" s="46" t="s">
        <v>24</v>
      </c>
      <c r="B13" s="29"/>
      <c r="C13" s="29">
        <v>1628</v>
      </c>
      <c r="D13" s="29">
        <v>2309</v>
      </c>
      <c r="E13" s="29">
        <v>1624</v>
      </c>
      <c r="F13" s="29">
        <v>1632</v>
      </c>
      <c r="G13" s="29">
        <v>2030</v>
      </c>
      <c r="H13" s="29">
        <v>3345</v>
      </c>
      <c r="I13" s="29">
        <v>3961</v>
      </c>
      <c r="J13" s="29">
        <v>4150</v>
      </c>
      <c r="K13" s="29">
        <v>4474</v>
      </c>
      <c r="L13" s="28">
        <v>4353</v>
      </c>
      <c r="M13" s="42">
        <v>4518</v>
      </c>
      <c r="N13" s="42">
        <v>4850</v>
      </c>
      <c r="O13" s="42">
        <v>8462</v>
      </c>
      <c r="P13" s="42">
        <v>10926</v>
      </c>
      <c r="Q13" s="42">
        <v>12319</v>
      </c>
      <c r="R13" s="42">
        <v>15468</v>
      </c>
      <c r="S13" s="28">
        <v>17538</v>
      </c>
    </row>
    <row r="14" spans="1:19" ht="12.75">
      <c r="A14" s="47" t="s">
        <v>23</v>
      </c>
      <c r="B14" s="30"/>
      <c r="C14" s="30"/>
      <c r="D14" s="30">
        <f>1385+503</f>
        <v>1888</v>
      </c>
      <c r="E14" s="30">
        <f>507</f>
        <v>507</v>
      </c>
      <c r="F14" s="30">
        <v>371</v>
      </c>
      <c r="G14" s="30">
        <v>455</v>
      </c>
      <c r="H14" s="30">
        <v>462</v>
      </c>
      <c r="I14" s="30">
        <v>431</v>
      </c>
      <c r="J14" s="30">
        <v>375</v>
      </c>
      <c r="K14" s="30">
        <v>261</v>
      </c>
      <c r="L14" s="5">
        <v>209</v>
      </c>
      <c r="M14" s="2">
        <v>229</v>
      </c>
      <c r="N14" s="2">
        <v>189</v>
      </c>
      <c r="O14" s="2"/>
      <c r="P14" s="2"/>
      <c r="Q14" s="2"/>
      <c r="R14" s="2"/>
      <c r="S14" s="5"/>
    </row>
    <row r="15" spans="1:19" ht="12.75">
      <c r="A15" s="48" t="s">
        <v>22</v>
      </c>
      <c r="B15" s="17"/>
      <c r="C15" s="17">
        <f>SUM(C13,C5)</f>
        <v>10184</v>
      </c>
      <c r="D15" s="17">
        <f>SUM(D5,D13,D14)</f>
        <v>12347</v>
      </c>
      <c r="E15" s="17">
        <f>SUM(E5,E13,E14)</f>
        <v>12015</v>
      </c>
      <c r="F15" s="17">
        <f aca="true" t="shared" si="7" ref="F15:L15">SUM(F5,F13,F14)</f>
        <v>12389</v>
      </c>
      <c r="G15" s="17">
        <f t="shared" si="7"/>
        <v>13642</v>
      </c>
      <c r="H15" s="17">
        <f t="shared" si="7"/>
        <v>15161</v>
      </c>
      <c r="I15" s="17">
        <f t="shared" si="7"/>
        <v>16488</v>
      </c>
      <c r="J15" s="17">
        <f t="shared" si="7"/>
        <v>17058</v>
      </c>
      <c r="K15" s="17">
        <f t="shared" si="7"/>
        <v>17982</v>
      </c>
      <c r="L15" s="16">
        <f t="shared" si="7"/>
        <v>18494</v>
      </c>
      <c r="M15" s="17">
        <f>SUM(M5,M13:M14)</f>
        <v>19419</v>
      </c>
      <c r="N15" s="17">
        <f>SUM(N5,N13:N14)</f>
        <v>20992</v>
      </c>
      <c r="O15" s="17">
        <f>SUM(O5,O13:O14)</f>
        <v>26266</v>
      </c>
      <c r="P15" s="17">
        <f>SUM(P5,P13:P14)</f>
        <v>30108</v>
      </c>
      <c r="Q15" s="17">
        <f>SUM(Q5,Q13:Q14)</f>
        <v>32995</v>
      </c>
      <c r="R15" s="17">
        <f>SUM(R13,R5)</f>
        <v>37807</v>
      </c>
      <c r="S15" s="16">
        <f>SUM(S5,S13)</f>
        <v>41236</v>
      </c>
    </row>
    <row r="16" spans="1:19" ht="12.75">
      <c r="A16" s="5"/>
      <c r="B16" s="29"/>
      <c r="C16" s="29"/>
      <c r="D16" s="29"/>
      <c r="E16" s="29"/>
      <c r="F16" s="29"/>
      <c r="G16" s="29"/>
      <c r="H16" s="29"/>
      <c r="I16" s="29"/>
      <c r="J16" s="29"/>
      <c r="K16" s="29"/>
      <c r="L16" s="28"/>
      <c r="M16" s="42"/>
      <c r="N16" s="42"/>
      <c r="O16" s="42"/>
      <c r="P16" s="42"/>
      <c r="Q16" s="42"/>
      <c r="R16" s="42"/>
      <c r="S16" s="28"/>
    </row>
    <row r="17" spans="1:19" ht="12.75">
      <c r="A17" s="41" t="s">
        <v>21</v>
      </c>
      <c r="B17" s="11"/>
      <c r="C17" s="11"/>
      <c r="D17" s="11"/>
      <c r="E17" s="11"/>
      <c r="F17" s="11"/>
      <c r="G17" s="11"/>
      <c r="H17" s="11"/>
      <c r="I17" s="11"/>
      <c r="J17" s="11"/>
      <c r="K17" s="11"/>
      <c r="L17" s="10"/>
      <c r="M17" s="40"/>
      <c r="N17" s="40"/>
      <c r="O17" s="40"/>
      <c r="P17" s="40"/>
      <c r="Q17" s="40"/>
      <c r="R17" s="40"/>
      <c r="S17" s="39"/>
    </row>
    <row r="18" spans="1:19" ht="12.75">
      <c r="A18" s="47" t="s">
        <v>12</v>
      </c>
      <c r="B18" s="30"/>
      <c r="C18" s="30"/>
      <c r="D18" s="30">
        <v>826</v>
      </c>
      <c r="E18" s="30">
        <v>214</v>
      </c>
      <c r="F18" s="30">
        <v>217</v>
      </c>
      <c r="G18" s="30">
        <v>304</v>
      </c>
      <c r="H18" s="30">
        <v>1389</v>
      </c>
      <c r="I18" s="30">
        <v>1501</v>
      </c>
      <c r="J18" s="30">
        <v>1614</v>
      </c>
      <c r="K18" s="162">
        <v>1707</v>
      </c>
      <c r="L18" s="163">
        <v>1765</v>
      </c>
      <c r="M18" s="162">
        <v>1744</v>
      </c>
      <c r="N18" s="162">
        <v>2087</v>
      </c>
      <c r="O18" s="30">
        <v>2345</v>
      </c>
      <c r="P18" s="30">
        <v>2419</v>
      </c>
      <c r="Q18" s="30">
        <v>2644</v>
      </c>
      <c r="R18" s="30">
        <v>3513</v>
      </c>
      <c r="S18" s="5">
        <v>4110</v>
      </c>
    </row>
    <row r="19" spans="1:19" ht="25.5">
      <c r="A19" s="47" t="s">
        <v>16</v>
      </c>
      <c r="B19" s="30"/>
      <c r="C19" s="30">
        <v>685</v>
      </c>
      <c r="D19" s="30">
        <v>514</v>
      </c>
      <c r="E19" s="30">
        <v>1194</v>
      </c>
      <c r="F19" s="30">
        <f>1315-F18</f>
        <v>1098</v>
      </c>
      <c r="G19" s="30">
        <f>1394-G18</f>
        <v>1090</v>
      </c>
      <c r="H19" s="30">
        <f>1750-H18</f>
        <v>361</v>
      </c>
      <c r="I19" s="30">
        <f>1819-I18</f>
        <v>318</v>
      </c>
      <c r="J19" s="30">
        <f>2561-J18</f>
        <v>947</v>
      </c>
      <c r="K19" s="30">
        <f>1910-K18</f>
        <v>203</v>
      </c>
      <c r="L19" s="5">
        <f>2082-L18</f>
        <v>317</v>
      </c>
      <c r="M19" s="30">
        <f>69+60+288</f>
        <v>417</v>
      </c>
      <c r="N19" s="30">
        <f>95+840</f>
        <v>935</v>
      </c>
      <c r="O19" s="30">
        <v>644</v>
      </c>
      <c r="P19" s="30">
        <v>657</v>
      </c>
      <c r="Q19" s="30">
        <v>988</v>
      </c>
      <c r="R19" s="30">
        <f>330+337</f>
        <v>667</v>
      </c>
      <c r="S19" s="5">
        <f>806+751</f>
        <v>1557</v>
      </c>
    </row>
    <row r="20" spans="1:19" ht="25.5">
      <c r="A20" s="46" t="s">
        <v>20</v>
      </c>
      <c r="B20" s="29">
        <f aca="true" t="shared" si="8" ref="B20:L20">SUM(B18:B19)</f>
        <v>0</v>
      </c>
      <c r="C20" s="29">
        <f t="shared" si="8"/>
        <v>685</v>
      </c>
      <c r="D20" s="29">
        <f t="shared" si="8"/>
        <v>1340</v>
      </c>
      <c r="E20" s="29">
        <f t="shared" si="8"/>
        <v>1408</v>
      </c>
      <c r="F20" s="29">
        <f t="shared" si="8"/>
        <v>1315</v>
      </c>
      <c r="G20" s="29">
        <f t="shared" si="8"/>
        <v>1394</v>
      </c>
      <c r="H20" s="29">
        <f t="shared" si="8"/>
        <v>1750</v>
      </c>
      <c r="I20" s="29">
        <f t="shared" si="8"/>
        <v>1819</v>
      </c>
      <c r="J20" s="29">
        <f t="shared" si="8"/>
        <v>2561</v>
      </c>
      <c r="K20" s="29">
        <f t="shared" si="8"/>
        <v>1910</v>
      </c>
      <c r="L20" s="28">
        <f t="shared" si="8"/>
        <v>2082</v>
      </c>
      <c r="M20" s="29">
        <f aca="true" t="shared" si="9" ref="M20:S20">SUM(M18:M19)</f>
        <v>2161</v>
      </c>
      <c r="N20" s="29">
        <f t="shared" si="9"/>
        <v>3022</v>
      </c>
      <c r="O20" s="29">
        <f t="shared" si="9"/>
        <v>2989</v>
      </c>
      <c r="P20" s="29">
        <f t="shared" si="9"/>
        <v>3076</v>
      </c>
      <c r="Q20" s="29">
        <f t="shared" si="9"/>
        <v>3632</v>
      </c>
      <c r="R20" s="29">
        <f t="shared" si="9"/>
        <v>4180</v>
      </c>
      <c r="S20" s="28">
        <f t="shared" si="9"/>
        <v>5667</v>
      </c>
    </row>
    <row r="21" spans="1:19" ht="12.75">
      <c r="A21" s="49" t="s">
        <v>14</v>
      </c>
      <c r="B21" s="27"/>
      <c r="C21" s="27">
        <f>C20-1106</f>
        <v>-421</v>
      </c>
      <c r="D21" s="27">
        <f aca="true" t="shared" si="10" ref="D21:L21">D20-D65</f>
        <v>379</v>
      </c>
      <c r="E21" s="27">
        <f t="shared" si="10"/>
        <v>250</v>
      </c>
      <c r="F21" s="27">
        <f t="shared" si="10"/>
        <v>-44</v>
      </c>
      <c r="G21" s="27">
        <f t="shared" si="10"/>
        <v>71</v>
      </c>
      <c r="H21" s="27">
        <f t="shared" si="10"/>
        <v>-101</v>
      </c>
      <c r="I21" s="27">
        <f t="shared" si="10"/>
        <v>183</v>
      </c>
      <c r="J21" s="27">
        <f t="shared" si="10"/>
        <v>-11</v>
      </c>
      <c r="K21" s="27">
        <f t="shared" si="10"/>
        <v>-872</v>
      </c>
      <c r="L21" s="26">
        <f t="shared" si="10"/>
        <v>-426</v>
      </c>
      <c r="M21" s="27">
        <f>M20-2911</f>
        <v>-750</v>
      </c>
      <c r="N21" s="27">
        <f>N20-3128</f>
        <v>-106</v>
      </c>
      <c r="O21" s="27">
        <f>O20-3426</f>
        <v>-437</v>
      </c>
      <c r="P21" s="27">
        <f>P20-4038</f>
        <v>-962</v>
      </c>
      <c r="Q21" s="27">
        <f>Q20-Q65</f>
        <v>-1296</v>
      </c>
      <c r="R21" s="27">
        <f>R20-R65</f>
        <v>-1561</v>
      </c>
      <c r="S21" s="26">
        <f>S20-S65</f>
        <v>-888</v>
      </c>
    </row>
    <row r="22" spans="1:19" ht="12.75">
      <c r="A22" s="50"/>
      <c r="B22" s="71"/>
      <c r="C22" s="71"/>
      <c r="D22" s="71"/>
      <c r="E22" s="71"/>
      <c r="F22" s="71"/>
      <c r="G22" s="71"/>
      <c r="H22" s="71"/>
      <c r="I22" s="71"/>
      <c r="J22" s="71"/>
      <c r="K22" s="71"/>
      <c r="L22" s="18"/>
      <c r="M22" s="2"/>
      <c r="N22" s="2"/>
      <c r="O22" s="2"/>
      <c r="P22" s="2"/>
      <c r="Q22" s="2"/>
      <c r="R22" s="2"/>
      <c r="S22" s="5"/>
    </row>
    <row r="23" spans="1:19" ht="12.75">
      <c r="A23" s="38" t="s">
        <v>19</v>
      </c>
      <c r="B23" s="82"/>
      <c r="C23" s="82"/>
      <c r="D23" s="82"/>
      <c r="E23" s="82"/>
      <c r="F23" s="82"/>
      <c r="G23" s="82"/>
      <c r="H23" s="82"/>
      <c r="I23" s="82"/>
      <c r="J23" s="82"/>
      <c r="K23" s="82"/>
      <c r="L23" s="83"/>
      <c r="M23" s="37"/>
      <c r="N23" s="37"/>
      <c r="O23" s="37"/>
      <c r="P23" s="37"/>
      <c r="Q23" s="37"/>
      <c r="R23" s="37"/>
      <c r="S23" s="36"/>
    </row>
    <row r="24" spans="1:19" ht="12.75">
      <c r="A24" s="47" t="s">
        <v>12</v>
      </c>
      <c r="B24" s="30"/>
      <c r="C24" s="30"/>
      <c r="D24" s="162">
        <v>1475</v>
      </c>
      <c r="E24" s="162">
        <v>927</v>
      </c>
      <c r="F24" s="30">
        <v>932</v>
      </c>
      <c r="G24" s="30">
        <v>945</v>
      </c>
      <c r="H24" s="30">
        <v>1354</v>
      </c>
      <c r="I24" s="30">
        <v>1829</v>
      </c>
      <c r="J24" s="30">
        <v>2252</v>
      </c>
      <c r="K24" s="30">
        <v>2411</v>
      </c>
      <c r="L24" s="5">
        <v>2605</v>
      </c>
      <c r="M24" s="30">
        <v>2789</v>
      </c>
      <c r="N24" s="30">
        <v>2955</v>
      </c>
      <c r="O24" s="30">
        <v>3248</v>
      </c>
      <c r="P24" s="30">
        <v>3962</v>
      </c>
      <c r="Q24" s="30">
        <v>4446</v>
      </c>
      <c r="R24" s="30">
        <v>5158</v>
      </c>
      <c r="S24" s="5">
        <v>5993</v>
      </c>
    </row>
    <row r="25" spans="1:19" ht="25.5">
      <c r="A25" s="47" t="s">
        <v>16</v>
      </c>
      <c r="B25" s="30"/>
      <c r="C25" s="30">
        <v>150</v>
      </c>
      <c r="D25" s="30"/>
      <c r="E25" s="30">
        <v>72</v>
      </c>
      <c r="F25" s="30">
        <v>68</v>
      </c>
      <c r="G25" s="30">
        <f>368+172</f>
        <v>540</v>
      </c>
      <c r="H25" s="30">
        <f>1890-H24</f>
        <v>536</v>
      </c>
      <c r="I25" s="30">
        <f>2144-I24</f>
        <v>315</v>
      </c>
      <c r="J25" s="30">
        <f>2661-J24</f>
        <v>409</v>
      </c>
      <c r="K25" s="30">
        <f>3488-K24</f>
        <v>1077</v>
      </c>
      <c r="L25" s="5">
        <f>2876-L24</f>
        <v>271</v>
      </c>
      <c r="M25" s="30">
        <f>207+117</f>
        <v>324</v>
      </c>
      <c r="N25" s="30">
        <f>445+101</f>
        <v>546</v>
      </c>
      <c r="O25" s="30">
        <v>289</v>
      </c>
      <c r="P25" s="30">
        <v>356</v>
      </c>
      <c r="Q25" s="30">
        <v>843</v>
      </c>
      <c r="R25" s="30">
        <f>50+543</f>
        <v>593</v>
      </c>
      <c r="S25" s="5">
        <f>98+793</f>
        <v>891</v>
      </c>
    </row>
    <row r="26" spans="1:19" ht="12.75">
      <c r="A26" s="46" t="s">
        <v>18</v>
      </c>
      <c r="B26" s="177">
        <f aca="true" t="shared" si="11" ref="B26:L26">SUM(B24:B25)</f>
        <v>0</v>
      </c>
      <c r="C26" s="177">
        <f t="shared" si="11"/>
        <v>150</v>
      </c>
      <c r="D26" s="177">
        <f t="shared" si="11"/>
        <v>1475</v>
      </c>
      <c r="E26" s="177">
        <f t="shared" si="11"/>
        <v>999</v>
      </c>
      <c r="F26" s="177">
        <f>SUM(F24:F25)</f>
        <v>1000</v>
      </c>
      <c r="G26" s="177">
        <f t="shared" si="11"/>
        <v>1485</v>
      </c>
      <c r="H26" s="177">
        <f t="shared" si="11"/>
        <v>1890</v>
      </c>
      <c r="I26" s="177">
        <f t="shared" si="11"/>
        <v>2144</v>
      </c>
      <c r="J26" s="177">
        <f t="shared" si="11"/>
        <v>2661</v>
      </c>
      <c r="K26" s="177">
        <f t="shared" si="11"/>
        <v>3488</v>
      </c>
      <c r="L26" s="28">
        <f t="shared" si="11"/>
        <v>2876</v>
      </c>
      <c r="M26" s="29">
        <f aca="true" t="shared" si="12" ref="M26:S26">SUM(M24:M25)</f>
        <v>3113</v>
      </c>
      <c r="N26" s="29">
        <f t="shared" si="12"/>
        <v>3501</v>
      </c>
      <c r="O26" s="29">
        <f t="shared" si="12"/>
        <v>3537</v>
      </c>
      <c r="P26" s="29">
        <f t="shared" si="12"/>
        <v>4318</v>
      </c>
      <c r="Q26" s="29">
        <f t="shared" si="12"/>
        <v>5289</v>
      </c>
      <c r="R26" s="29">
        <f t="shared" si="12"/>
        <v>5751</v>
      </c>
      <c r="S26" s="28">
        <f t="shared" si="12"/>
        <v>6884</v>
      </c>
    </row>
    <row r="27" spans="1:19" ht="12.75">
      <c r="A27" s="51" t="s">
        <v>14</v>
      </c>
      <c r="B27" s="71"/>
      <c r="C27" s="71">
        <f>C26-883</f>
        <v>-733</v>
      </c>
      <c r="D27" s="71"/>
      <c r="E27" s="71">
        <f>E26-948</f>
        <v>51</v>
      </c>
      <c r="F27" s="71">
        <f>F26-1088</f>
        <v>-88</v>
      </c>
      <c r="G27" s="71">
        <f>G26-1465</f>
        <v>20</v>
      </c>
      <c r="H27" s="71">
        <f>H26-2177</f>
        <v>-287</v>
      </c>
      <c r="I27" s="71">
        <f>I26-2022</f>
        <v>122</v>
      </c>
      <c r="J27" s="71">
        <f>J26-2522</f>
        <v>139</v>
      </c>
      <c r="K27" s="71">
        <f>K26-2827</f>
        <v>661</v>
      </c>
      <c r="L27" s="178">
        <f>L26-2876</f>
        <v>0</v>
      </c>
      <c r="M27" s="35">
        <f>M26-3267</f>
        <v>-154</v>
      </c>
      <c r="N27" s="35">
        <f>N26-3393</f>
        <v>108</v>
      </c>
      <c r="O27" s="35">
        <f>O26-3719</f>
        <v>-182</v>
      </c>
      <c r="P27" s="35">
        <f>P26-4535</f>
        <v>-217</v>
      </c>
      <c r="Q27" s="35">
        <f>Q26-5845</f>
        <v>-556</v>
      </c>
      <c r="R27" s="35">
        <f>R26-6642</f>
        <v>-891</v>
      </c>
      <c r="S27" s="34">
        <f>S26-6878</f>
        <v>6</v>
      </c>
    </row>
    <row r="28" spans="1:19" ht="12.75">
      <c r="A28" s="50"/>
      <c r="B28" s="71"/>
      <c r="C28" s="71"/>
      <c r="D28" s="71"/>
      <c r="E28" s="71"/>
      <c r="F28" s="71"/>
      <c r="G28" s="71"/>
      <c r="H28" s="71"/>
      <c r="I28" s="71"/>
      <c r="J28" s="71"/>
      <c r="K28" s="71"/>
      <c r="L28" s="18"/>
      <c r="M28" s="2"/>
      <c r="N28" s="2"/>
      <c r="O28" s="2"/>
      <c r="P28" s="2"/>
      <c r="Q28" s="2"/>
      <c r="R28" s="2"/>
      <c r="S28" s="5"/>
    </row>
    <row r="29" spans="1:19" ht="12.75">
      <c r="A29" s="33" t="s">
        <v>17</v>
      </c>
      <c r="B29" s="9"/>
      <c r="C29" s="9"/>
      <c r="D29" s="9"/>
      <c r="E29" s="9"/>
      <c r="F29" s="9"/>
      <c r="G29" s="9"/>
      <c r="H29" s="9"/>
      <c r="I29" s="9"/>
      <c r="J29" s="9"/>
      <c r="K29" s="9"/>
      <c r="L29" s="8"/>
      <c r="M29" s="32"/>
      <c r="N29" s="32"/>
      <c r="O29" s="32"/>
      <c r="P29" s="32"/>
      <c r="Q29" s="32"/>
      <c r="R29" s="32"/>
      <c r="S29" s="31"/>
    </row>
    <row r="30" spans="1:19" ht="12.75">
      <c r="A30" s="47" t="s">
        <v>12</v>
      </c>
      <c r="B30" s="30"/>
      <c r="C30" s="30"/>
      <c r="D30" s="30"/>
      <c r="E30" s="30"/>
      <c r="F30" s="30"/>
      <c r="G30" s="30"/>
      <c r="H30" s="30"/>
      <c r="I30" s="30"/>
      <c r="J30" s="30"/>
      <c r="K30" s="30"/>
      <c r="L30" s="5"/>
      <c r="M30" s="30"/>
      <c r="N30" s="30"/>
      <c r="O30" s="30"/>
      <c r="P30" s="30">
        <v>218</v>
      </c>
      <c r="Q30" s="30">
        <v>785</v>
      </c>
      <c r="R30" s="30">
        <v>1454</v>
      </c>
      <c r="S30" s="5">
        <v>1524</v>
      </c>
    </row>
    <row r="31" spans="1:19" ht="25.5">
      <c r="A31" s="47" t="s">
        <v>16</v>
      </c>
      <c r="B31" s="30"/>
      <c r="C31" s="30">
        <v>436</v>
      </c>
      <c r="D31" s="30"/>
      <c r="E31" s="30">
        <v>481</v>
      </c>
      <c r="F31" s="30">
        <v>420</v>
      </c>
      <c r="G31" s="30">
        <v>666</v>
      </c>
      <c r="H31" s="30">
        <v>1014</v>
      </c>
      <c r="I31" s="30">
        <v>980</v>
      </c>
      <c r="J31" s="30">
        <v>905</v>
      </c>
      <c r="K31" s="30">
        <v>323</v>
      </c>
      <c r="L31" s="5">
        <v>262</v>
      </c>
      <c r="M31" s="30">
        <v>255</v>
      </c>
      <c r="N31" s="30">
        <v>47</v>
      </c>
      <c r="O31" s="30">
        <v>374</v>
      </c>
      <c r="P31" s="30">
        <v>967</v>
      </c>
      <c r="Q31" s="30">
        <v>1297</v>
      </c>
      <c r="R31" s="30">
        <v>1641</v>
      </c>
      <c r="S31" s="5">
        <v>1903</v>
      </c>
    </row>
    <row r="32" spans="1:19" ht="12.75">
      <c r="A32" s="46" t="s">
        <v>15</v>
      </c>
      <c r="B32" s="29">
        <f aca="true" t="shared" si="13" ref="B32:L32">SUM(B30:B31)</f>
        <v>0</v>
      </c>
      <c r="C32" s="29">
        <f t="shared" si="13"/>
        <v>436</v>
      </c>
      <c r="D32" s="29">
        <f t="shared" si="13"/>
        <v>0</v>
      </c>
      <c r="E32" s="29">
        <f t="shared" si="13"/>
        <v>481</v>
      </c>
      <c r="F32" s="29">
        <f t="shared" si="13"/>
        <v>420</v>
      </c>
      <c r="G32" s="29">
        <f t="shared" si="13"/>
        <v>666</v>
      </c>
      <c r="H32" s="29">
        <f t="shared" si="13"/>
        <v>1014</v>
      </c>
      <c r="I32" s="29">
        <f t="shared" si="13"/>
        <v>980</v>
      </c>
      <c r="J32" s="29">
        <f t="shared" si="13"/>
        <v>905</v>
      </c>
      <c r="K32" s="29">
        <f t="shared" si="13"/>
        <v>323</v>
      </c>
      <c r="L32" s="28">
        <f t="shared" si="13"/>
        <v>262</v>
      </c>
      <c r="M32" s="29">
        <f aca="true" t="shared" si="14" ref="M32:S32">SUM(M30:M31)</f>
        <v>255</v>
      </c>
      <c r="N32" s="29">
        <f t="shared" si="14"/>
        <v>47</v>
      </c>
      <c r="O32" s="29">
        <f t="shared" si="14"/>
        <v>374</v>
      </c>
      <c r="P32" s="29">
        <f t="shared" si="14"/>
        <v>1185</v>
      </c>
      <c r="Q32" s="29">
        <f t="shared" si="14"/>
        <v>2082</v>
      </c>
      <c r="R32" s="29">
        <f t="shared" si="14"/>
        <v>3095</v>
      </c>
      <c r="S32" s="28">
        <f t="shared" si="14"/>
        <v>3427</v>
      </c>
    </row>
    <row r="33" spans="1:19" ht="12.75">
      <c r="A33" s="49" t="s">
        <v>14</v>
      </c>
      <c r="B33" s="27"/>
      <c r="C33" s="27">
        <f>C32-964</f>
        <v>-528</v>
      </c>
      <c r="D33" s="27"/>
      <c r="E33" s="27">
        <f>E32-1061</f>
        <v>-580</v>
      </c>
      <c r="F33" s="27">
        <f>F32-1019</f>
        <v>-599</v>
      </c>
      <c r="G33" s="27">
        <f>G32-1414</f>
        <v>-748</v>
      </c>
      <c r="H33" s="27">
        <f>H32-1403</f>
        <v>-389</v>
      </c>
      <c r="I33" s="27">
        <f>I32-1405</f>
        <v>-425</v>
      </c>
      <c r="J33" s="27">
        <f>J32-1645</f>
        <v>-740</v>
      </c>
      <c r="K33" s="27">
        <f>K32-845</f>
        <v>-522</v>
      </c>
      <c r="L33" s="26">
        <f>L32-759</f>
        <v>-497</v>
      </c>
      <c r="M33" s="27">
        <f>M32-792</f>
        <v>-537</v>
      </c>
      <c r="N33" s="27">
        <f>N32-790</f>
        <v>-743</v>
      </c>
      <c r="O33" s="27">
        <f>O32-1065</f>
        <v>-691</v>
      </c>
      <c r="P33" s="27">
        <f>P32-3095</f>
        <v>-1910</v>
      </c>
      <c r="Q33" s="27">
        <f>Q32-3339</f>
        <v>-1257</v>
      </c>
      <c r="R33" s="27">
        <f>R32-3771</f>
        <v>-676</v>
      </c>
      <c r="S33" s="26">
        <f>S32-4296</f>
        <v>-869</v>
      </c>
    </row>
    <row r="34" spans="1:19" ht="12.75">
      <c r="A34" s="5"/>
      <c r="B34" s="42"/>
      <c r="C34" s="42"/>
      <c r="D34" s="42"/>
      <c r="E34" s="42"/>
      <c r="F34" s="42"/>
      <c r="G34" s="42"/>
      <c r="H34" s="42"/>
      <c r="I34" s="42"/>
      <c r="J34" s="42"/>
      <c r="K34" s="42"/>
      <c r="L34" s="28"/>
      <c r="M34" s="42"/>
      <c r="N34" s="42"/>
      <c r="O34" s="42"/>
      <c r="P34" s="42"/>
      <c r="Q34" s="42"/>
      <c r="R34" s="29"/>
      <c r="S34" s="28"/>
    </row>
    <row r="35" spans="1:19" ht="12.75">
      <c r="A35" s="38" t="s">
        <v>34</v>
      </c>
      <c r="B35" s="37"/>
      <c r="C35" s="37"/>
      <c r="D35" s="37"/>
      <c r="E35" s="37"/>
      <c r="F35" s="37"/>
      <c r="G35" s="37"/>
      <c r="H35" s="37"/>
      <c r="I35" s="37"/>
      <c r="J35" s="37"/>
      <c r="K35" s="37"/>
      <c r="L35" s="36"/>
      <c r="M35" s="37"/>
      <c r="N35" s="37"/>
      <c r="O35" s="37"/>
      <c r="P35" s="37"/>
      <c r="Q35" s="37"/>
      <c r="R35" s="37"/>
      <c r="S35" s="36"/>
    </row>
    <row r="36" spans="1:19" ht="12.75">
      <c r="A36" s="47" t="s">
        <v>12</v>
      </c>
      <c r="B36" s="30"/>
      <c r="C36" s="30"/>
      <c r="D36" s="30">
        <v>526</v>
      </c>
      <c r="E36" s="30">
        <v>324</v>
      </c>
      <c r="F36" s="30">
        <v>300</v>
      </c>
      <c r="G36" s="30">
        <v>439</v>
      </c>
      <c r="H36" s="30">
        <v>1109</v>
      </c>
      <c r="I36" s="30">
        <v>1198</v>
      </c>
      <c r="J36" s="30">
        <v>1039</v>
      </c>
      <c r="K36" s="30">
        <f>1140</f>
        <v>1140</v>
      </c>
      <c r="L36" s="5">
        <v>1157</v>
      </c>
      <c r="M36" s="30">
        <v>996</v>
      </c>
      <c r="N36" s="30">
        <v>1016</v>
      </c>
      <c r="O36" s="30">
        <v>1068</v>
      </c>
      <c r="P36" s="30">
        <v>1163</v>
      </c>
      <c r="Q36" s="30">
        <v>1581</v>
      </c>
      <c r="R36" s="30">
        <v>1871</v>
      </c>
      <c r="S36" s="5">
        <f>1991-77</f>
        <v>1914</v>
      </c>
    </row>
    <row r="37" spans="1:19" ht="25.5">
      <c r="A37" s="47" t="s">
        <v>16</v>
      </c>
      <c r="B37" s="30"/>
      <c r="C37" s="30">
        <v>3</v>
      </c>
      <c r="D37" s="30">
        <v>179</v>
      </c>
      <c r="E37" s="30">
        <v>178</v>
      </c>
      <c r="F37" s="30">
        <f>216</f>
        <v>216</v>
      </c>
      <c r="G37" s="30">
        <v>141</v>
      </c>
      <c r="H37" s="30">
        <v>201</v>
      </c>
      <c r="I37" s="30">
        <v>207</v>
      </c>
      <c r="J37" s="30">
        <f>107+17</f>
        <v>124</v>
      </c>
      <c r="K37" s="30">
        <f>157+25</f>
        <v>182</v>
      </c>
      <c r="L37" s="5">
        <v>124</v>
      </c>
      <c r="M37" s="30">
        <v>158</v>
      </c>
      <c r="N37" s="30">
        <f>70+159</f>
        <v>229</v>
      </c>
      <c r="O37" s="30">
        <f>213+71</f>
        <v>284</v>
      </c>
      <c r="P37" s="30">
        <f>219+89</f>
        <v>308</v>
      </c>
      <c r="Q37" s="30">
        <f>191+95</f>
        <v>286</v>
      </c>
      <c r="R37" s="30">
        <f>178+68</f>
        <v>246</v>
      </c>
      <c r="S37" s="5">
        <f>217+147</f>
        <v>364</v>
      </c>
    </row>
    <row r="38" spans="1:19" ht="12.75">
      <c r="A38" s="46" t="s">
        <v>18</v>
      </c>
      <c r="B38" s="29">
        <f aca="true" t="shared" si="15" ref="B38:S38">SUM(B36:B37)</f>
        <v>0</v>
      </c>
      <c r="C38" s="29">
        <f t="shared" si="15"/>
        <v>3</v>
      </c>
      <c r="D38" s="29">
        <f t="shared" si="15"/>
        <v>705</v>
      </c>
      <c r="E38" s="29">
        <f t="shared" si="15"/>
        <v>502</v>
      </c>
      <c r="F38" s="29">
        <f t="shared" si="15"/>
        <v>516</v>
      </c>
      <c r="G38" s="29">
        <f t="shared" si="15"/>
        <v>580</v>
      </c>
      <c r="H38" s="29">
        <f t="shared" si="15"/>
        <v>1310</v>
      </c>
      <c r="I38" s="29">
        <f t="shared" si="15"/>
        <v>1405</v>
      </c>
      <c r="J38" s="29">
        <f t="shared" si="15"/>
        <v>1163</v>
      </c>
      <c r="K38" s="29">
        <f t="shared" si="15"/>
        <v>1322</v>
      </c>
      <c r="L38" s="29">
        <f t="shared" si="15"/>
        <v>1281</v>
      </c>
      <c r="M38" s="29">
        <f t="shared" si="15"/>
        <v>1154</v>
      </c>
      <c r="N38" s="29">
        <f t="shared" si="15"/>
        <v>1245</v>
      </c>
      <c r="O38" s="29">
        <f t="shared" si="15"/>
        <v>1352</v>
      </c>
      <c r="P38" s="29">
        <f t="shared" si="15"/>
        <v>1471</v>
      </c>
      <c r="Q38" s="29">
        <f t="shared" si="15"/>
        <v>1867</v>
      </c>
      <c r="R38" s="29">
        <f t="shared" si="15"/>
        <v>2117</v>
      </c>
      <c r="S38" s="28">
        <f t="shared" si="15"/>
        <v>2278</v>
      </c>
    </row>
    <row r="39" spans="1:19" ht="12.75">
      <c r="A39" s="51" t="s">
        <v>14</v>
      </c>
      <c r="B39" s="35">
        <f>B38-B66</f>
        <v>0</v>
      </c>
      <c r="C39" s="35">
        <f>C38-C66</f>
        <v>-42</v>
      </c>
      <c r="D39" s="35">
        <f aca="true" t="shared" si="16" ref="D39:S39">D38-D66</f>
        <v>-53</v>
      </c>
      <c r="E39" s="35">
        <f t="shared" si="16"/>
        <v>-384</v>
      </c>
      <c r="F39" s="35">
        <f t="shared" si="16"/>
        <v>-647</v>
      </c>
      <c r="G39" s="35">
        <f t="shared" si="16"/>
        <v>-502</v>
      </c>
      <c r="H39" s="35">
        <f t="shared" si="16"/>
        <v>126</v>
      </c>
      <c r="I39" s="35">
        <f t="shared" si="16"/>
        <v>244</v>
      </c>
      <c r="J39" s="35">
        <f t="shared" si="16"/>
        <v>-169</v>
      </c>
      <c r="K39" s="35">
        <f t="shared" si="16"/>
        <v>302</v>
      </c>
      <c r="L39" s="34">
        <f t="shared" si="16"/>
        <v>228</v>
      </c>
      <c r="M39" s="35">
        <f t="shared" si="16"/>
        <v>208</v>
      </c>
      <c r="N39" s="35">
        <f t="shared" si="16"/>
        <v>238</v>
      </c>
      <c r="O39" s="35">
        <f t="shared" si="16"/>
        <v>233</v>
      </c>
      <c r="P39" s="35">
        <f t="shared" si="16"/>
        <v>-4521</v>
      </c>
      <c r="Q39" s="35">
        <f t="shared" si="16"/>
        <v>487</v>
      </c>
      <c r="R39" s="35">
        <f t="shared" si="16"/>
        <v>761</v>
      </c>
      <c r="S39" s="34">
        <f t="shared" si="16"/>
        <v>702</v>
      </c>
    </row>
    <row r="40" spans="1:19" ht="12.75">
      <c r="A40" s="50"/>
      <c r="B40" s="2"/>
      <c r="C40" s="2"/>
      <c r="D40" s="2"/>
      <c r="E40" s="2"/>
      <c r="F40" s="2"/>
      <c r="G40" s="2"/>
      <c r="H40" s="2"/>
      <c r="I40" s="2"/>
      <c r="J40" s="2"/>
      <c r="K40" s="2"/>
      <c r="L40" s="5"/>
      <c r="M40" s="2"/>
      <c r="N40" s="2"/>
      <c r="O40" s="2"/>
      <c r="P40" s="2"/>
      <c r="Q40" s="2"/>
      <c r="R40" s="30"/>
      <c r="S40" s="5"/>
    </row>
    <row r="41" spans="1:19" ht="12.75">
      <c r="A41" s="38" t="s">
        <v>46</v>
      </c>
      <c r="B41" s="37"/>
      <c r="C41" s="37"/>
      <c r="D41" s="37"/>
      <c r="E41" s="37"/>
      <c r="F41" s="37"/>
      <c r="G41" s="37"/>
      <c r="H41" s="37"/>
      <c r="I41" s="37"/>
      <c r="J41" s="37"/>
      <c r="K41" s="37"/>
      <c r="L41" s="36"/>
      <c r="M41" s="37"/>
      <c r="N41" s="37"/>
      <c r="O41" s="37"/>
      <c r="P41" s="37"/>
      <c r="Q41" s="37"/>
      <c r="R41" s="37"/>
      <c r="S41" s="36"/>
    </row>
    <row r="42" spans="1:19" ht="12.75">
      <c r="A42" s="47" t="s">
        <v>12</v>
      </c>
      <c r="B42" s="30"/>
      <c r="C42" s="30"/>
      <c r="D42" s="30"/>
      <c r="E42" s="30"/>
      <c r="F42" s="30"/>
      <c r="G42" s="30"/>
      <c r="H42" s="30"/>
      <c r="I42" s="30">
        <v>53</v>
      </c>
      <c r="J42" s="30"/>
      <c r="K42" s="30"/>
      <c r="L42" s="5"/>
      <c r="M42" s="30"/>
      <c r="N42" s="30"/>
      <c r="O42" s="30"/>
      <c r="P42" s="30"/>
      <c r="Q42" s="30"/>
      <c r="R42" s="30"/>
      <c r="S42" s="5"/>
    </row>
    <row r="43" spans="1:19" ht="25.5">
      <c r="A43" s="47" t="s">
        <v>16</v>
      </c>
      <c r="B43" s="30"/>
      <c r="C43" s="30">
        <v>144</v>
      </c>
      <c r="D43" s="30">
        <f>174+161+158+167</f>
        <v>660</v>
      </c>
      <c r="E43" s="30">
        <f>611+281+881</f>
        <v>1773</v>
      </c>
      <c r="F43" s="30">
        <f>654+837</f>
        <v>1491</v>
      </c>
      <c r="G43" s="30">
        <f>55+491+436+775+278</f>
        <v>2035</v>
      </c>
      <c r="H43" s="30">
        <f>46+429+243+623+209+277</f>
        <v>1827</v>
      </c>
      <c r="I43" s="30">
        <f>442+736+86+41+452+205+12</f>
        <v>1974</v>
      </c>
      <c r="J43" s="30">
        <f>9+251+371+6+786+486</f>
        <v>1909</v>
      </c>
      <c r="K43" s="30">
        <f>16+250+511+78+1647</f>
        <v>2502</v>
      </c>
      <c r="L43" s="5">
        <f>14+343+504+176+1182</f>
        <v>2219</v>
      </c>
      <c r="M43" s="30">
        <f>11+623+85+221+1246</f>
        <v>2186</v>
      </c>
      <c r="N43" s="30">
        <f>18+437+660+134+1275</f>
        <v>2524</v>
      </c>
      <c r="O43" s="30">
        <f>27+284+889+459+1634</f>
        <v>3293</v>
      </c>
      <c r="P43" s="30">
        <f>14+907+1752+1378</f>
        <v>4051</v>
      </c>
      <c r="Q43" s="30">
        <f>19+481+782+1747</f>
        <v>3029</v>
      </c>
      <c r="R43" s="30">
        <f>5+1007+2173</f>
        <v>3185</v>
      </c>
      <c r="S43" s="5">
        <f>43+448+967+2312</f>
        <v>3770</v>
      </c>
    </row>
    <row r="44" spans="1:19" ht="12.75">
      <c r="A44" s="46" t="s">
        <v>18</v>
      </c>
      <c r="B44" s="29">
        <f aca="true" t="shared" si="17" ref="B44:S44">SUM(B42:B43)</f>
        <v>0</v>
      </c>
      <c r="C44" s="29">
        <f t="shared" si="17"/>
        <v>144</v>
      </c>
      <c r="D44" s="29">
        <f t="shared" si="17"/>
        <v>660</v>
      </c>
      <c r="E44" s="29">
        <f t="shared" si="17"/>
        <v>1773</v>
      </c>
      <c r="F44" s="29">
        <f t="shared" si="17"/>
        <v>1491</v>
      </c>
      <c r="G44" s="29">
        <f t="shared" si="17"/>
        <v>2035</v>
      </c>
      <c r="H44" s="29">
        <f t="shared" si="17"/>
        <v>1827</v>
      </c>
      <c r="I44" s="29">
        <f t="shared" si="17"/>
        <v>2027</v>
      </c>
      <c r="J44" s="29">
        <f t="shared" si="17"/>
        <v>1909</v>
      </c>
      <c r="K44" s="29">
        <f t="shared" si="17"/>
        <v>2502</v>
      </c>
      <c r="L44" s="29">
        <f t="shared" si="17"/>
        <v>2219</v>
      </c>
      <c r="M44" s="29">
        <f t="shared" si="17"/>
        <v>2186</v>
      </c>
      <c r="N44" s="29">
        <f t="shared" si="17"/>
        <v>2524</v>
      </c>
      <c r="O44" s="29">
        <f t="shared" si="17"/>
        <v>3293</v>
      </c>
      <c r="P44" s="29">
        <f t="shared" si="17"/>
        <v>4051</v>
      </c>
      <c r="Q44" s="29">
        <f t="shared" si="17"/>
        <v>3029</v>
      </c>
      <c r="R44" s="29">
        <f t="shared" si="17"/>
        <v>3185</v>
      </c>
      <c r="S44" s="28">
        <f t="shared" si="17"/>
        <v>3770</v>
      </c>
    </row>
    <row r="45" spans="1:20" ht="12.75">
      <c r="A45" s="51" t="s">
        <v>14</v>
      </c>
      <c r="B45" s="35">
        <f>B44-B67</f>
        <v>0</v>
      </c>
      <c r="C45" s="35">
        <f aca="true" t="shared" si="18" ref="C45:S45">C44-C67</f>
        <v>-391</v>
      </c>
      <c r="D45" s="35">
        <f t="shared" si="18"/>
        <v>-1162</v>
      </c>
      <c r="E45" s="35">
        <f t="shared" si="18"/>
        <v>-2868</v>
      </c>
      <c r="F45" s="35">
        <f t="shared" si="18"/>
        <v>-3262</v>
      </c>
      <c r="G45" s="35">
        <f t="shared" si="18"/>
        <v>-4630</v>
      </c>
      <c r="H45" s="35">
        <f t="shared" si="18"/>
        <v>-5532</v>
      </c>
      <c r="I45" s="35">
        <f t="shared" si="18"/>
        <v>-4839</v>
      </c>
      <c r="J45" s="35">
        <f t="shared" si="18"/>
        <v>-3937</v>
      </c>
      <c r="K45" s="35">
        <f t="shared" si="18"/>
        <v>-2004</v>
      </c>
      <c r="L45" s="34">
        <f t="shared" si="18"/>
        <v>-2830</v>
      </c>
      <c r="M45" s="35">
        <f t="shared" si="18"/>
        <v>-3640</v>
      </c>
      <c r="N45" s="35">
        <f t="shared" si="18"/>
        <v>-3765</v>
      </c>
      <c r="O45" s="35">
        <f t="shared" si="18"/>
        <v>-3215</v>
      </c>
      <c r="P45" s="35">
        <f t="shared" si="18"/>
        <v>-3773</v>
      </c>
      <c r="Q45" s="35">
        <f t="shared" si="18"/>
        <v>-4856</v>
      </c>
      <c r="R45" s="35">
        <f t="shared" si="18"/>
        <v>-5136</v>
      </c>
      <c r="S45" s="34">
        <f t="shared" si="18"/>
        <v>-6465</v>
      </c>
      <c r="T45" s="102"/>
    </row>
    <row r="46" spans="1:19" ht="12.75">
      <c r="A46" s="50"/>
      <c r="B46" s="2"/>
      <c r="C46" s="2"/>
      <c r="D46" s="2"/>
      <c r="E46" s="2"/>
      <c r="F46" s="2"/>
      <c r="G46" s="2"/>
      <c r="H46" s="2"/>
      <c r="I46" s="2"/>
      <c r="J46" s="2"/>
      <c r="K46" s="2"/>
      <c r="L46" s="5"/>
      <c r="M46" s="2"/>
      <c r="N46" s="2"/>
      <c r="O46" s="2"/>
      <c r="P46" s="2"/>
      <c r="Q46" s="2"/>
      <c r="R46" s="30"/>
      <c r="S46" s="5"/>
    </row>
    <row r="47" spans="1:19" ht="12.75">
      <c r="A47" s="38" t="s">
        <v>47</v>
      </c>
      <c r="B47" s="37"/>
      <c r="C47" s="37"/>
      <c r="D47" s="37"/>
      <c r="E47" s="37"/>
      <c r="F47" s="37"/>
      <c r="G47" s="37"/>
      <c r="H47" s="37"/>
      <c r="I47" s="37"/>
      <c r="J47" s="37"/>
      <c r="K47" s="37"/>
      <c r="L47" s="36"/>
      <c r="M47" s="37"/>
      <c r="N47" s="37"/>
      <c r="O47" s="37"/>
      <c r="P47" s="37"/>
      <c r="Q47" s="37"/>
      <c r="R47" s="37"/>
      <c r="S47" s="36"/>
    </row>
    <row r="48" spans="1:19" ht="12.75">
      <c r="A48" s="47" t="s">
        <v>12</v>
      </c>
      <c r="B48" s="2"/>
      <c r="C48" s="2"/>
      <c r="D48" s="2">
        <v>8</v>
      </c>
      <c r="E48" s="2">
        <v>9</v>
      </c>
      <c r="F48" s="2">
        <v>8</v>
      </c>
      <c r="G48" s="2"/>
      <c r="H48" s="2"/>
      <c r="I48" s="2"/>
      <c r="J48" s="2"/>
      <c r="K48" s="2"/>
      <c r="L48" s="5"/>
      <c r="M48" s="2">
        <v>95</v>
      </c>
      <c r="N48" s="2">
        <v>75</v>
      </c>
      <c r="O48" s="2">
        <v>105</v>
      </c>
      <c r="P48" s="2">
        <v>105</v>
      </c>
      <c r="Q48" s="2">
        <v>319</v>
      </c>
      <c r="R48" s="30">
        <v>337</v>
      </c>
      <c r="S48" s="5">
        <f>266+77</f>
        <v>343</v>
      </c>
    </row>
    <row r="49" spans="1:19" ht="25.5">
      <c r="A49" s="47" t="s">
        <v>16</v>
      </c>
      <c r="B49" s="2"/>
      <c r="C49" s="2">
        <v>316</v>
      </c>
      <c r="D49" s="2">
        <v>0</v>
      </c>
      <c r="E49" s="2">
        <f>4</f>
        <v>4</v>
      </c>
      <c r="F49" s="2">
        <v>283</v>
      </c>
      <c r="G49" s="2"/>
      <c r="H49" s="2"/>
      <c r="I49" s="2"/>
      <c r="J49" s="2"/>
      <c r="K49" s="2"/>
      <c r="L49" s="5"/>
      <c r="M49" s="2"/>
      <c r="N49" s="2">
        <v>92</v>
      </c>
      <c r="O49" s="2">
        <f>180</f>
        <v>180</v>
      </c>
      <c r="P49" s="2">
        <v>177</v>
      </c>
      <c r="Q49" s="2">
        <f>106+46</f>
        <v>152</v>
      </c>
      <c r="R49" s="30">
        <f>46+236</f>
        <v>282</v>
      </c>
      <c r="S49" s="5">
        <f>269+30</f>
        <v>299</v>
      </c>
    </row>
    <row r="50" spans="1:19" ht="12.75">
      <c r="A50" s="46" t="s">
        <v>18</v>
      </c>
      <c r="B50" s="29">
        <f aca="true" t="shared" si="19" ref="B50:K50">SUM(B48:B49)</f>
        <v>0</v>
      </c>
      <c r="C50" s="29">
        <f t="shared" si="19"/>
        <v>316</v>
      </c>
      <c r="D50" s="29">
        <f t="shared" si="19"/>
        <v>8</v>
      </c>
      <c r="E50" s="29">
        <f t="shared" si="19"/>
        <v>13</v>
      </c>
      <c r="F50" s="29">
        <f t="shared" si="19"/>
        <v>291</v>
      </c>
      <c r="G50" s="29">
        <f t="shared" si="19"/>
        <v>0</v>
      </c>
      <c r="H50" s="29">
        <f t="shared" si="19"/>
        <v>0</v>
      </c>
      <c r="I50" s="29">
        <f t="shared" si="19"/>
        <v>0</v>
      </c>
      <c r="J50" s="29">
        <f t="shared" si="19"/>
        <v>0</v>
      </c>
      <c r="K50" s="29">
        <f t="shared" si="19"/>
        <v>0</v>
      </c>
      <c r="L50" s="28"/>
      <c r="M50" s="29">
        <f aca="true" t="shared" si="20" ref="M50:S50">SUM(M48:M49)</f>
        <v>95</v>
      </c>
      <c r="N50" s="29">
        <f t="shared" si="20"/>
        <v>167</v>
      </c>
      <c r="O50" s="29">
        <f t="shared" si="20"/>
        <v>285</v>
      </c>
      <c r="P50" s="29">
        <f t="shared" si="20"/>
        <v>282</v>
      </c>
      <c r="Q50" s="29">
        <f t="shared" si="20"/>
        <v>471</v>
      </c>
      <c r="R50" s="29">
        <f t="shared" si="20"/>
        <v>619</v>
      </c>
      <c r="S50" s="28">
        <f t="shared" si="20"/>
        <v>642</v>
      </c>
    </row>
    <row r="51" spans="1:19" ht="12.75">
      <c r="A51" s="51" t="s">
        <v>14</v>
      </c>
      <c r="B51" s="35">
        <f>B50-B68</f>
        <v>0</v>
      </c>
      <c r="C51" s="35">
        <f aca="true" t="shared" si="21" ref="C51:N51">C50-C68</f>
        <v>-75</v>
      </c>
      <c r="D51" s="35">
        <f t="shared" si="21"/>
        <v>-84</v>
      </c>
      <c r="E51" s="35">
        <f t="shared" si="21"/>
        <v>-305</v>
      </c>
      <c r="F51" s="35">
        <f t="shared" si="21"/>
        <v>-112</v>
      </c>
      <c r="G51" s="35">
        <f t="shared" si="21"/>
        <v>-161</v>
      </c>
      <c r="H51" s="35">
        <f t="shared" si="21"/>
        <v>-127</v>
      </c>
      <c r="I51" s="35">
        <f t="shared" si="21"/>
        <v>-360</v>
      </c>
      <c r="J51" s="35">
        <f t="shared" si="21"/>
        <v>-417</v>
      </c>
      <c r="K51" s="35">
        <f t="shared" si="21"/>
        <v>-1146</v>
      </c>
      <c r="L51" s="34">
        <f t="shared" si="21"/>
        <v>-1023</v>
      </c>
      <c r="M51" s="35">
        <f t="shared" si="21"/>
        <v>-381</v>
      </c>
      <c r="N51" s="35">
        <f t="shared" si="21"/>
        <v>-607</v>
      </c>
      <c r="O51" s="35">
        <f>O50-O68+116</f>
        <v>-435</v>
      </c>
      <c r="P51" s="35">
        <f>P50-P68+146</f>
        <v>-687</v>
      </c>
      <c r="Q51" s="35">
        <f>Q50-Q68+137</f>
        <v>-574</v>
      </c>
      <c r="R51" s="35">
        <f>R50-R68+146</f>
        <v>-575</v>
      </c>
      <c r="S51" s="34">
        <f>S50-S68+158</f>
        <v>-758</v>
      </c>
    </row>
    <row r="52" spans="1:19" ht="12.75">
      <c r="A52" s="50"/>
      <c r="B52" s="71"/>
      <c r="C52" s="71"/>
      <c r="D52" s="71"/>
      <c r="E52" s="71"/>
      <c r="F52" s="71"/>
      <c r="G52" s="71"/>
      <c r="H52" s="71"/>
      <c r="I52" s="71"/>
      <c r="J52" s="71"/>
      <c r="K52" s="71"/>
      <c r="L52" s="18"/>
      <c r="M52" s="71"/>
      <c r="N52" s="71"/>
      <c r="O52" s="71"/>
      <c r="P52" s="71"/>
      <c r="Q52" s="71"/>
      <c r="R52" s="71"/>
      <c r="S52" s="18"/>
    </row>
    <row r="53" spans="1:19" ht="12.75">
      <c r="A53" s="25" t="s">
        <v>13</v>
      </c>
      <c r="B53" s="154"/>
      <c r="C53" s="154"/>
      <c r="D53" s="154"/>
      <c r="E53" s="154"/>
      <c r="F53" s="154"/>
      <c r="G53" s="154"/>
      <c r="H53" s="154"/>
      <c r="I53" s="154"/>
      <c r="J53" s="154"/>
      <c r="K53" s="154"/>
      <c r="L53" s="154"/>
      <c r="M53" s="24"/>
      <c r="N53" s="24"/>
      <c r="O53" s="24"/>
      <c r="P53" s="24"/>
      <c r="Q53" s="24"/>
      <c r="R53" s="24"/>
      <c r="S53" s="23"/>
    </row>
    <row r="54" spans="1:19" ht="12.75">
      <c r="A54" s="52" t="s">
        <v>12</v>
      </c>
      <c r="B54" s="66">
        <f aca="true" t="shared" si="22" ref="B54:S54">SUM(B18,B24,B30,B36,B42,B48)</f>
        <v>0</v>
      </c>
      <c r="C54" s="66">
        <f t="shared" si="22"/>
        <v>0</v>
      </c>
      <c r="D54" s="66">
        <f t="shared" si="22"/>
        <v>2835</v>
      </c>
      <c r="E54" s="66">
        <f t="shared" si="22"/>
        <v>1474</v>
      </c>
      <c r="F54" s="66">
        <f t="shared" si="22"/>
        <v>1457</v>
      </c>
      <c r="G54" s="66">
        <f t="shared" si="22"/>
        <v>1688</v>
      </c>
      <c r="H54" s="66">
        <f t="shared" si="22"/>
        <v>3852</v>
      </c>
      <c r="I54" s="66">
        <f t="shared" si="22"/>
        <v>4581</v>
      </c>
      <c r="J54" s="66">
        <f t="shared" si="22"/>
        <v>4905</v>
      </c>
      <c r="K54" s="66">
        <f t="shared" si="22"/>
        <v>5258</v>
      </c>
      <c r="L54" s="66">
        <f t="shared" si="22"/>
        <v>5527</v>
      </c>
      <c r="M54" s="66">
        <f t="shared" si="22"/>
        <v>5624</v>
      </c>
      <c r="N54" s="66">
        <f t="shared" si="22"/>
        <v>6133</v>
      </c>
      <c r="O54" s="66">
        <f t="shared" si="22"/>
        <v>6766</v>
      </c>
      <c r="P54" s="66">
        <f t="shared" si="22"/>
        <v>7867</v>
      </c>
      <c r="Q54" s="66">
        <f t="shared" si="22"/>
        <v>9775</v>
      </c>
      <c r="R54" s="66">
        <f t="shared" si="22"/>
        <v>12333</v>
      </c>
      <c r="S54" s="67">
        <f t="shared" si="22"/>
        <v>13884</v>
      </c>
    </row>
    <row r="55" spans="1:19" ht="12.75">
      <c r="A55" s="53" t="s">
        <v>11</v>
      </c>
      <c r="B55" s="22">
        <f aca="true" t="shared" si="23" ref="B55:S55">SUM(B19,B25,B31,B37,B43,B49)</f>
        <v>0</v>
      </c>
      <c r="C55" s="22">
        <f t="shared" si="23"/>
        <v>1734</v>
      </c>
      <c r="D55" s="22">
        <f t="shared" si="23"/>
        <v>1353</v>
      </c>
      <c r="E55" s="22">
        <f t="shared" si="23"/>
        <v>3702</v>
      </c>
      <c r="F55" s="22">
        <f t="shared" si="23"/>
        <v>3576</v>
      </c>
      <c r="G55" s="22">
        <f t="shared" si="23"/>
        <v>4472</v>
      </c>
      <c r="H55" s="22">
        <f t="shared" si="23"/>
        <v>3939</v>
      </c>
      <c r="I55" s="22">
        <f t="shared" si="23"/>
        <v>3794</v>
      </c>
      <c r="J55" s="22">
        <f t="shared" si="23"/>
        <v>4294</v>
      </c>
      <c r="K55" s="22">
        <f t="shared" si="23"/>
        <v>4287</v>
      </c>
      <c r="L55" s="22">
        <f t="shared" si="23"/>
        <v>3193</v>
      </c>
      <c r="M55" s="22">
        <f t="shared" si="23"/>
        <v>3340</v>
      </c>
      <c r="N55" s="22">
        <f t="shared" si="23"/>
        <v>4373</v>
      </c>
      <c r="O55" s="22">
        <f t="shared" si="23"/>
        <v>5064</v>
      </c>
      <c r="P55" s="22">
        <f t="shared" si="23"/>
        <v>6516</v>
      </c>
      <c r="Q55" s="22">
        <f t="shared" si="23"/>
        <v>6595</v>
      </c>
      <c r="R55" s="22">
        <f t="shared" si="23"/>
        <v>6614</v>
      </c>
      <c r="S55" s="21">
        <f t="shared" si="23"/>
        <v>8784</v>
      </c>
    </row>
    <row r="56" spans="1:19" ht="25.5">
      <c r="A56" s="54" t="s">
        <v>10</v>
      </c>
      <c r="B56" s="20">
        <f aca="true" t="shared" si="24" ref="B56:S56">SUM(B20,B26,B32,B38,B44,B50)</f>
        <v>0</v>
      </c>
      <c r="C56" s="20">
        <f t="shared" si="24"/>
        <v>1734</v>
      </c>
      <c r="D56" s="20">
        <f t="shared" si="24"/>
        <v>4188</v>
      </c>
      <c r="E56" s="20">
        <f t="shared" si="24"/>
        <v>5176</v>
      </c>
      <c r="F56" s="20">
        <f t="shared" si="24"/>
        <v>5033</v>
      </c>
      <c r="G56" s="20">
        <f t="shared" si="24"/>
        <v>6160</v>
      </c>
      <c r="H56" s="20">
        <f t="shared" si="24"/>
        <v>7791</v>
      </c>
      <c r="I56" s="20">
        <f t="shared" si="24"/>
        <v>8375</v>
      </c>
      <c r="J56" s="20">
        <f t="shared" si="24"/>
        <v>9199</v>
      </c>
      <c r="K56" s="20">
        <f t="shared" si="24"/>
        <v>9545</v>
      </c>
      <c r="L56" s="20">
        <f t="shared" si="24"/>
        <v>8720</v>
      </c>
      <c r="M56" s="20">
        <f t="shared" si="24"/>
        <v>8964</v>
      </c>
      <c r="N56" s="20">
        <f t="shared" si="24"/>
        <v>10506</v>
      </c>
      <c r="O56" s="20">
        <f t="shared" si="24"/>
        <v>11830</v>
      </c>
      <c r="P56" s="20">
        <f t="shared" si="24"/>
        <v>14383</v>
      </c>
      <c r="Q56" s="20">
        <f t="shared" si="24"/>
        <v>16370</v>
      </c>
      <c r="R56" s="20">
        <f t="shared" si="24"/>
        <v>18947</v>
      </c>
      <c r="S56" s="19">
        <f t="shared" si="24"/>
        <v>22668</v>
      </c>
    </row>
    <row r="57" spans="1:19" ht="12.75">
      <c r="A57" s="55" t="s">
        <v>9</v>
      </c>
      <c r="B57" s="71">
        <f aca="true" t="shared" si="25" ref="B57:S57">SUM(B21,B27,B33,B39,B45,B51)</f>
        <v>0</v>
      </c>
      <c r="C57" s="71">
        <f t="shared" si="25"/>
        <v>-2190</v>
      </c>
      <c r="D57" s="71">
        <f t="shared" si="25"/>
        <v>-920</v>
      </c>
      <c r="E57" s="71">
        <f t="shared" si="25"/>
        <v>-3836</v>
      </c>
      <c r="F57" s="71">
        <f t="shared" si="25"/>
        <v>-4752</v>
      </c>
      <c r="G57" s="71">
        <f t="shared" si="25"/>
        <v>-5950</v>
      </c>
      <c r="H57" s="71">
        <f t="shared" si="25"/>
        <v>-6310</v>
      </c>
      <c r="I57" s="71">
        <f t="shared" si="25"/>
        <v>-5075</v>
      </c>
      <c r="J57" s="71">
        <f t="shared" si="25"/>
        <v>-5135</v>
      </c>
      <c r="K57" s="71">
        <f t="shared" si="25"/>
        <v>-3581</v>
      </c>
      <c r="L57" s="71">
        <f t="shared" si="25"/>
        <v>-4548</v>
      </c>
      <c r="M57" s="71">
        <f t="shared" si="25"/>
        <v>-5254</v>
      </c>
      <c r="N57" s="71">
        <f t="shared" si="25"/>
        <v>-4875</v>
      </c>
      <c r="O57" s="71">
        <f t="shared" si="25"/>
        <v>-4727</v>
      </c>
      <c r="P57" s="71">
        <f t="shared" si="25"/>
        <v>-12070</v>
      </c>
      <c r="Q57" s="71">
        <f t="shared" si="25"/>
        <v>-8052</v>
      </c>
      <c r="R57" s="71">
        <f t="shared" si="25"/>
        <v>-8078</v>
      </c>
      <c r="S57" s="18">
        <f t="shared" si="25"/>
        <v>-8272</v>
      </c>
    </row>
    <row r="58" spans="1:19" ht="12.75">
      <c r="A58" s="56" t="s">
        <v>8</v>
      </c>
      <c r="B58" s="17">
        <f aca="true" t="shared" si="26" ref="B58:S58">B59-B55-B15</f>
        <v>0</v>
      </c>
      <c r="C58" s="17">
        <f t="shared" si="26"/>
        <v>9205</v>
      </c>
      <c r="D58" s="17">
        <f t="shared" si="26"/>
        <v>8922</v>
      </c>
      <c r="E58" s="17">
        <f t="shared" si="26"/>
        <v>10089</v>
      </c>
      <c r="F58" s="17">
        <f t="shared" si="26"/>
        <v>11103</v>
      </c>
      <c r="G58" s="17">
        <f t="shared" si="26"/>
        <v>19703</v>
      </c>
      <c r="H58" s="17">
        <f t="shared" si="26"/>
        <v>12972</v>
      </c>
      <c r="I58" s="17">
        <f t="shared" si="26"/>
        <v>11872</v>
      </c>
      <c r="J58" s="17">
        <f t="shared" si="26"/>
        <v>12473</v>
      </c>
      <c r="K58" s="17">
        <f t="shared" si="26"/>
        <v>13696</v>
      </c>
      <c r="L58" s="17">
        <f t="shared" si="26"/>
        <v>23476</v>
      </c>
      <c r="M58" s="17">
        <f t="shared" si="26"/>
        <v>17170</v>
      </c>
      <c r="N58" s="17">
        <f t="shared" si="26"/>
        <v>19390</v>
      </c>
      <c r="O58" s="17">
        <f t="shared" si="26"/>
        <v>18410</v>
      </c>
      <c r="P58" s="17">
        <f t="shared" si="26"/>
        <v>20011</v>
      </c>
      <c r="Q58" s="17">
        <f t="shared" si="26"/>
        <v>18549</v>
      </c>
      <c r="R58" s="17">
        <f t="shared" si="26"/>
        <v>30418</v>
      </c>
      <c r="S58" s="16">
        <f t="shared" si="26"/>
        <v>27223</v>
      </c>
    </row>
    <row r="59" spans="1:19" ht="12.75">
      <c r="A59" s="57" t="s">
        <v>7</v>
      </c>
      <c r="B59" s="7"/>
      <c r="C59" s="7">
        <v>21123</v>
      </c>
      <c r="D59" s="7">
        <v>22622</v>
      </c>
      <c r="E59" s="7">
        <v>25806</v>
      </c>
      <c r="F59" s="7">
        <v>27068</v>
      </c>
      <c r="G59" s="7">
        <v>37817</v>
      </c>
      <c r="H59" s="7">
        <v>32072</v>
      </c>
      <c r="I59" s="7">
        <v>32154</v>
      </c>
      <c r="J59" s="7">
        <v>33825</v>
      </c>
      <c r="K59" s="7">
        <v>35965</v>
      </c>
      <c r="L59" s="6">
        <v>45163</v>
      </c>
      <c r="M59" s="7">
        <v>39929</v>
      </c>
      <c r="N59" s="7">
        <v>44755</v>
      </c>
      <c r="O59" s="7">
        <v>49740</v>
      </c>
      <c r="P59" s="7">
        <v>56635</v>
      </c>
      <c r="Q59" s="7">
        <v>58139</v>
      </c>
      <c r="R59" s="7">
        <v>74839</v>
      </c>
      <c r="S59" s="6">
        <v>77243</v>
      </c>
    </row>
    <row r="60" spans="1:19" ht="12.75">
      <c r="A60" s="47"/>
      <c r="B60" s="30"/>
      <c r="C60" s="30"/>
      <c r="D60" s="30"/>
      <c r="E60" s="30"/>
      <c r="F60" s="30"/>
      <c r="G60" s="30"/>
      <c r="H60" s="30"/>
      <c r="I60" s="30"/>
      <c r="J60" s="30"/>
      <c r="K60" s="30"/>
      <c r="L60" s="5"/>
      <c r="M60" s="2"/>
      <c r="N60" s="2"/>
      <c r="O60" s="2"/>
      <c r="P60" s="2"/>
      <c r="Q60" s="2"/>
      <c r="R60" s="2"/>
      <c r="S60" s="5"/>
    </row>
    <row r="61" spans="1:19" ht="12.75">
      <c r="A61" s="48" t="s">
        <v>6</v>
      </c>
      <c r="B61" s="156"/>
      <c r="C61" s="156"/>
      <c r="D61" s="156"/>
      <c r="E61" s="156"/>
      <c r="F61" s="156"/>
      <c r="G61" s="156"/>
      <c r="H61" s="156"/>
      <c r="I61" s="156"/>
      <c r="J61" s="156"/>
      <c r="K61" s="156"/>
      <c r="L61" s="157"/>
      <c r="M61" s="17"/>
      <c r="N61" s="17"/>
      <c r="O61" s="17"/>
      <c r="P61" s="17"/>
      <c r="Q61" s="17"/>
      <c r="R61" s="17"/>
      <c r="S61" s="16"/>
    </row>
    <row r="62" spans="1:19" ht="25.5">
      <c r="A62" s="47" t="s">
        <v>221</v>
      </c>
      <c r="B62" s="30"/>
      <c r="C62" s="30">
        <f>120+33+1112+211+77+1183+815+111+145</f>
        <v>3807</v>
      </c>
      <c r="D62" s="30">
        <f>50+226+13+1488+958+108+188+135</f>
        <v>3166</v>
      </c>
      <c r="E62" s="30">
        <f>28+97+1541+2195+276</f>
        <v>4137</v>
      </c>
      <c r="F62" s="30">
        <f>1618+2829+405</f>
        <v>4852</v>
      </c>
      <c r="G62" s="30">
        <f>1992+2723+307+650</f>
        <v>5672</v>
      </c>
      <c r="H62" s="30">
        <f>2339+2889+475+714</f>
        <v>6417</v>
      </c>
      <c r="I62" s="30">
        <f>2151+3278+216</f>
        <v>5645</v>
      </c>
      <c r="J62" s="30">
        <f>3278+147+2790</f>
        <v>6215</v>
      </c>
      <c r="K62" s="30">
        <f>2106+3328+90</f>
        <v>5524</v>
      </c>
      <c r="L62" s="5">
        <f>2317+3503+136</f>
        <v>5956</v>
      </c>
      <c r="M62" s="2">
        <f>150+2845+3412</f>
        <v>6407</v>
      </c>
      <c r="N62" s="2">
        <f>1944+4237+158</f>
        <v>6339</v>
      </c>
      <c r="O62" s="2">
        <f>376+3988+2244</f>
        <v>6608</v>
      </c>
      <c r="P62" s="2">
        <f>2414+4994</f>
        <v>7408</v>
      </c>
      <c r="Q62" s="2">
        <f>2497+6076</f>
        <v>8573</v>
      </c>
      <c r="R62" s="2">
        <f>2083+5998</f>
        <v>8081</v>
      </c>
      <c r="S62" s="5">
        <f>2377+6969</f>
        <v>9346</v>
      </c>
    </row>
    <row r="63" spans="1:19" ht="12.75">
      <c r="A63" s="58" t="s">
        <v>222</v>
      </c>
      <c r="B63" s="15"/>
      <c r="C63" s="15">
        <f>375+4942</f>
        <v>5317</v>
      </c>
      <c r="D63" s="15">
        <f>4470+741</f>
        <v>5211</v>
      </c>
      <c r="E63" s="15">
        <f>942+5017</f>
        <v>5959</v>
      </c>
      <c r="F63" s="15">
        <v>7558</v>
      </c>
      <c r="G63" s="15">
        <v>6295</v>
      </c>
      <c r="H63" s="15">
        <f>6259</f>
        <v>6259</v>
      </c>
      <c r="I63" s="15">
        <v>6848</v>
      </c>
      <c r="J63" s="15">
        <f>10854</f>
        <v>10854</v>
      </c>
      <c r="K63" s="15">
        <v>9962</v>
      </c>
      <c r="L63" s="14">
        <v>10753</v>
      </c>
      <c r="M63" s="15">
        <v>11516</v>
      </c>
      <c r="N63" s="15">
        <v>11719</v>
      </c>
      <c r="O63" s="15">
        <v>13776</v>
      </c>
      <c r="P63" s="15">
        <v>13383</v>
      </c>
      <c r="Q63" s="15">
        <v>13825</v>
      </c>
      <c r="R63" s="15">
        <v>16674</v>
      </c>
      <c r="S63" s="14">
        <f>17787</f>
        <v>17787</v>
      </c>
    </row>
    <row r="64" spans="1:19" ht="25.5">
      <c r="A64" s="59" t="s">
        <v>223</v>
      </c>
      <c r="B64" s="167"/>
      <c r="C64" s="167">
        <f>331+964+883</f>
        <v>2178</v>
      </c>
      <c r="D64" s="167">
        <v>3004</v>
      </c>
      <c r="E64" s="167">
        <f>1061+948+301</f>
        <v>2310</v>
      </c>
      <c r="F64" s="167">
        <f>3666-1163</f>
        <v>2503</v>
      </c>
      <c r="G64" s="167">
        <f>4417-1082</f>
        <v>3335</v>
      </c>
      <c r="H64" s="167">
        <f>5375-1184</f>
        <v>4191</v>
      </c>
      <c r="I64" s="167">
        <f>-1161+5130</f>
        <v>3969</v>
      </c>
      <c r="J64" s="167">
        <f>-1332+6307</f>
        <v>4975</v>
      </c>
      <c r="K64" s="167">
        <f>5472-K66</f>
        <v>4452</v>
      </c>
      <c r="L64" s="12">
        <f>5603-L66</f>
        <v>4550</v>
      </c>
      <c r="M64" s="13">
        <f>5826-M66</f>
        <v>4880</v>
      </c>
      <c r="N64" s="13">
        <f>-N66+6020</f>
        <v>5013</v>
      </c>
      <c r="O64" s="13">
        <f>6892-O66</f>
        <v>5773</v>
      </c>
      <c r="P64" s="13">
        <f>1243+4535+3095</f>
        <v>8873</v>
      </c>
      <c r="Q64" s="13">
        <f>3339+5845+1551</f>
        <v>10735</v>
      </c>
      <c r="R64" s="13">
        <f>19295-R65</f>
        <v>13554</v>
      </c>
      <c r="S64" s="12">
        <f>21328-S65</f>
        <v>14773</v>
      </c>
    </row>
    <row r="65" spans="1:19" ht="12.75">
      <c r="A65" s="60" t="s">
        <v>5</v>
      </c>
      <c r="B65" s="11"/>
      <c r="C65" s="11">
        <v>685</v>
      </c>
      <c r="D65" s="11">
        <v>961</v>
      </c>
      <c r="E65" s="11">
        <v>1158</v>
      </c>
      <c r="F65" s="11">
        <v>1359</v>
      </c>
      <c r="G65" s="11">
        <v>1323</v>
      </c>
      <c r="H65" s="11">
        <v>1851</v>
      </c>
      <c r="I65" s="11">
        <v>1636</v>
      </c>
      <c r="J65" s="11">
        <v>2572</v>
      </c>
      <c r="K65" s="11">
        <v>2782</v>
      </c>
      <c r="L65" s="10">
        <v>2508</v>
      </c>
      <c r="M65" s="11">
        <v>2911</v>
      </c>
      <c r="N65" s="11">
        <v>3128</v>
      </c>
      <c r="O65" s="11">
        <v>3426</v>
      </c>
      <c r="P65" s="11">
        <v>4038</v>
      </c>
      <c r="Q65" s="11">
        <v>4928</v>
      </c>
      <c r="R65" s="11">
        <v>5741</v>
      </c>
      <c r="S65" s="10">
        <v>6555</v>
      </c>
    </row>
    <row r="66" spans="1:19" ht="12.75">
      <c r="A66" s="118" t="s">
        <v>42</v>
      </c>
      <c r="B66" s="119"/>
      <c r="C66" s="119">
        <v>45</v>
      </c>
      <c r="D66" s="119">
        <v>758</v>
      </c>
      <c r="E66" s="119">
        <v>886</v>
      </c>
      <c r="F66" s="119">
        <f>1163</f>
        <v>1163</v>
      </c>
      <c r="G66" s="119">
        <v>1082</v>
      </c>
      <c r="H66" s="119">
        <v>1184</v>
      </c>
      <c r="I66" s="119">
        <v>1161</v>
      </c>
      <c r="J66" s="119">
        <v>1332</v>
      </c>
      <c r="K66" s="119">
        <v>1020</v>
      </c>
      <c r="L66" s="122">
        <v>1053</v>
      </c>
      <c r="M66" s="119">
        <v>946</v>
      </c>
      <c r="N66" s="119">
        <v>1007</v>
      </c>
      <c r="O66" s="119">
        <v>1119</v>
      </c>
      <c r="P66" s="119">
        <v>5992</v>
      </c>
      <c r="Q66" s="119">
        <v>1380</v>
      </c>
      <c r="R66" s="179">
        <v>1356</v>
      </c>
      <c r="S66" s="122">
        <v>1576</v>
      </c>
    </row>
    <row r="67" spans="1:19" ht="13.5" customHeight="1">
      <c r="A67" s="117" t="s">
        <v>50</v>
      </c>
      <c r="B67" s="120"/>
      <c r="C67" s="120">
        <f>535</f>
        <v>535</v>
      </c>
      <c r="D67" s="120">
        <f>510+532+371+409</f>
        <v>1822</v>
      </c>
      <c r="E67" s="120">
        <f>1967+2992-318</f>
        <v>4641</v>
      </c>
      <c r="F67" s="120">
        <f>1324+251+3178</f>
        <v>4753</v>
      </c>
      <c r="G67" s="120">
        <f>4511+2315-161</f>
        <v>6665</v>
      </c>
      <c r="H67" s="120">
        <f>4957+2529-127</f>
        <v>7359</v>
      </c>
      <c r="I67" s="120">
        <f>4601+2625-360</f>
        <v>6866</v>
      </c>
      <c r="J67" s="120">
        <f>3619+2644-417</f>
        <v>5846</v>
      </c>
      <c r="K67" s="120">
        <f>3534+2118-1146</f>
        <v>4506</v>
      </c>
      <c r="L67" s="123">
        <f>3981+2091-1023</f>
        <v>5049</v>
      </c>
      <c r="M67" s="120">
        <f>4729+1573-476</f>
        <v>5826</v>
      </c>
      <c r="N67" s="120">
        <f>5344+1719-774</f>
        <v>6289</v>
      </c>
      <c r="O67" s="120">
        <f>5203+2141-836</f>
        <v>6508</v>
      </c>
      <c r="P67" s="120">
        <f>8939-1115</f>
        <v>7824</v>
      </c>
      <c r="Q67" s="120">
        <f>9067-1182</f>
        <v>7885</v>
      </c>
      <c r="R67" s="120">
        <f>9661-1340</f>
        <v>8321</v>
      </c>
      <c r="S67" s="123">
        <f>10393-158</f>
        <v>10235</v>
      </c>
    </row>
    <row r="68" spans="1:19" ht="12.75">
      <c r="A68" s="117" t="s">
        <v>41</v>
      </c>
      <c r="B68" s="119"/>
      <c r="C68" s="119">
        <v>391</v>
      </c>
      <c r="D68" s="119">
        <v>92</v>
      </c>
      <c r="E68" s="119">
        <v>318</v>
      </c>
      <c r="F68" s="119">
        <f>403</f>
        <v>403</v>
      </c>
      <c r="G68" s="119">
        <f>110+51</f>
        <v>161</v>
      </c>
      <c r="H68" s="119">
        <f>125+2</f>
        <v>127</v>
      </c>
      <c r="I68" s="119">
        <v>360</v>
      </c>
      <c r="J68" s="119">
        <v>417</v>
      </c>
      <c r="K68" s="119">
        <v>1146</v>
      </c>
      <c r="L68" s="122">
        <v>1023</v>
      </c>
      <c r="M68" s="119">
        <v>476</v>
      </c>
      <c r="N68" s="119">
        <v>774</v>
      </c>
      <c r="O68" s="119">
        <v>836</v>
      </c>
      <c r="P68" s="119">
        <v>1115</v>
      </c>
      <c r="Q68" s="119">
        <v>1182</v>
      </c>
      <c r="R68" s="179">
        <v>1340</v>
      </c>
      <c r="S68" s="122">
        <v>1558</v>
      </c>
    </row>
    <row r="69" spans="1:19" ht="51">
      <c r="A69" s="61" t="s">
        <v>4</v>
      </c>
      <c r="B69" s="159"/>
      <c r="C69" s="159"/>
      <c r="D69" s="159"/>
      <c r="E69" s="159"/>
      <c r="F69" s="159"/>
      <c r="G69" s="159"/>
      <c r="H69" s="159"/>
      <c r="I69" s="159"/>
      <c r="J69" s="159"/>
      <c r="K69" s="159"/>
      <c r="L69" s="160"/>
      <c r="M69" s="9">
        <f>M72-SUM(M62:M68)</f>
        <v>-2954</v>
      </c>
      <c r="N69" s="9">
        <f>N72-SUM(N62:N68)</f>
        <v>6121</v>
      </c>
      <c r="O69" s="9">
        <f>O72-SUM(O62:O68)</f>
        <v>6048</v>
      </c>
      <c r="P69" s="9">
        <f>P72-SUM(P62:P68)</f>
        <v>8277</v>
      </c>
      <c r="Q69" s="9">
        <f>Q71</f>
        <v>9352</v>
      </c>
      <c r="R69" s="9">
        <f>R71</f>
        <v>8236</v>
      </c>
      <c r="S69" s="8">
        <f>S71</f>
        <v>7822</v>
      </c>
    </row>
    <row r="70" spans="1:19" ht="25.5">
      <c r="A70" s="61" t="s">
        <v>3</v>
      </c>
      <c r="B70" s="159"/>
      <c r="C70" s="159"/>
      <c r="D70" s="159"/>
      <c r="E70" s="159"/>
      <c r="F70" s="159"/>
      <c r="G70" s="159"/>
      <c r="H70" s="159"/>
      <c r="I70" s="159"/>
      <c r="J70" s="159"/>
      <c r="K70" s="159"/>
      <c r="L70" s="160"/>
      <c r="M70" s="9">
        <v>0</v>
      </c>
      <c r="N70" s="9">
        <v>0</v>
      </c>
      <c r="O70" s="9">
        <v>0</v>
      </c>
      <c r="P70" s="9">
        <v>0</v>
      </c>
      <c r="Q70" s="9">
        <v>0</v>
      </c>
      <c r="R70" s="9">
        <v>0</v>
      </c>
      <c r="S70" s="8">
        <v>0</v>
      </c>
    </row>
    <row r="71" spans="1:19" ht="63.75">
      <c r="A71" s="47" t="s">
        <v>2</v>
      </c>
      <c r="B71" s="30"/>
      <c r="C71" s="30"/>
      <c r="D71" s="30">
        <f>D72-D65-D64-D63-D62-SUM(D66:D68)</f>
        <v>5331</v>
      </c>
      <c r="E71" s="30">
        <f>E72-E65-E64-E63-E62-SUM(E66:E68)</f>
        <v>3746</v>
      </c>
      <c r="F71" s="30">
        <f>F72-F65-F64-F63-F62-SUM(F66:F68)</f>
        <v>2893</v>
      </c>
      <c r="G71" s="30">
        <f>G72-G65-G64-G63-G62-SUM(G66:G68)</f>
        <v>4415</v>
      </c>
      <c r="H71" s="30">
        <v>10758</v>
      </c>
      <c r="I71" s="30">
        <v>10970</v>
      </c>
      <c r="J71" s="30">
        <v>11175</v>
      </c>
      <c r="K71" s="30">
        <v>10965</v>
      </c>
      <c r="L71" s="5">
        <v>19671</v>
      </c>
      <c r="M71" s="2">
        <f aca="true" t="shared" si="27" ref="M71:S71">M72-SUM(M62:M68)</f>
        <v>-2954</v>
      </c>
      <c r="N71" s="2">
        <f t="shared" si="27"/>
        <v>6121</v>
      </c>
      <c r="O71" s="2">
        <f t="shared" si="27"/>
        <v>6048</v>
      </c>
      <c r="P71" s="2">
        <f t="shared" si="27"/>
        <v>8277</v>
      </c>
      <c r="Q71" s="2">
        <f t="shared" si="27"/>
        <v>9352</v>
      </c>
      <c r="R71" s="2">
        <f t="shared" si="27"/>
        <v>8236</v>
      </c>
      <c r="S71" s="138">
        <f t="shared" si="27"/>
        <v>7822</v>
      </c>
    </row>
    <row r="72" spans="1:19" ht="12.75">
      <c r="A72" s="57" t="s">
        <v>1</v>
      </c>
      <c r="B72" s="7"/>
      <c r="C72" s="7">
        <v>17233</v>
      </c>
      <c r="D72" s="7">
        <v>20345</v>
      </c>
      <c r="E72" s="7">
        <v>23155</v>
      </c>
      <c r="F72" s="7">
        <v>25484</v>
      </c>
      <c r="G72" s="7">
        <v>28948</v>
      </c>
      <c r="H72" s="7">
        <f>SUM(H62:H71)</f>
        <v>38146</v>
      </c>
      <c r="I72" s="7">
        <f>SUM(I62:I71)</f>
        <v>37455</v>
      </c>
      <c r="J72" s="7">
        <f>SUM(J62:J71)</f>
        <v>43386</v>
      </c>
      <c r="K72" s="7">
        <f>SUM(K62:K71)</f>
        <v>40357</v>
      </c>
      <c r="L72" s="6">
        <f>SUM(L62:L71)</f>
        <v>50563</v>
      </c>
      <c r="M72" s="7">
        <v>30008</v>
      </c>
      <c r="N72" s="7">
        <v>40390</v>
      </c>
      <c r="O72" s="7">
        <v>44094</v>
      </c>
      <c r="P72" s="7">
        <v>56910</v>
      </c>
      <c r="Q72" s="7">
        <v>57860</v>
      </c>
      <c r="R72" s="7">
        <v>63303</v>
      </c>
      <c r="S72" s="6">
        <v>69652</v>
      </c>
    </row>
    <row r="73" spans="1:19" ht="12.75">
      <c r="A73" s="47"/>
      <c r="B73" s="30"/>
      <c r="C73" s="30"/>
      <c r="D73" s="30"/>
      <c r="E73" s="30"/>
      <c r="F73" s="30"/>
      <c r="G73" s="30"/>
      <c r="H73" s="30"/>
      <c r="I73" s="30"/>
      <c r="J73" s="30"/>
      <c r="K73" s="30"/>
      <c r="L73" s="5"/>
      <c r="M73" s="2"/>
      <c r="N73" s="2"/>
      <c r="O73" s="2"/>
      <c r="P73" s="2"/>
      <c r="Q73" s="2"/>
      <c r="R73" s="2"/>
      <c r="S73" s="5"/>
    </row>
    <row r="74" spans="1:19" ht="12.75">
      <c r="A74" s="62" t="s">
        <v>0</v>
      </c>
      <c r="B74" s="4"/>
      <c r="C74" s="4">
        <v>62091</v>
      </c>
      <c r="D74" s="4">
        <v>402354</v>
      </c>
      <c r="E74" s="4">
        <v>420979</v>
      </c>
      <c r="F74" s="4">
        <v>425727</v>
      </c>
      <c r="G74" s="4">
        <v>463737</v>
      </c>
      <c r="H74" s="4">
        <v>479172</v>
      </c>
      <c r="I74" s="4">
        <v>480273</v>
      </c>
      <c r="J74" s="4">
        <v>444856</v>
      </c>
      <c r="K74" s="4">
        <v>453393</v>
      </c>
      <c r="L74" s="3">
        <v>568613</v>
      </c>
      <c r="M74" s="4">
        <v>590149</v>
      </c>
      <c r="N74" s="4">
        <v>618646</v>
      </c>
      <c r="O74" s="4">
        <v>730449</v>
      </c>
      <c r="P74" s="4">
        <v>744625</v>
      </c>
      <c r="Q74" s="4">
        <v>866069</v>
      </c>
      <c r="R74" s="4">
        <v>926945</v>
      </c>
      <c r="S74" s="3">
        <v>992765</v>
      </c>
    </row>
  </sheetData>
  <sheetProtection/>
  <mergeCells count="1">
    <mergeCell ref="B1:T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8"/>
  <sheetViews>
    <sheetView zoomScalePageLayoutView="0" workbookViewId="0" topLeftCell="A1">
      <selection activeCell="I39" sqref="I39"/>
    </sheetView>
  </sheetViews>
  <sheetFormatPr defaultColWidth="9.140625" defaultRowHeight="15"/>
  <cols>
    <col min="1" max="1" width="50.28125" style="317" customWidth="1"/>
    <col min="2" max="2" width="15.8515625" style="317" customWidth="1"/>
    <col min="3" max="3" width="16.28125" style="317" customWidth="1"/>
    <col min="4" max="4" width="19.8515625" style="317" customWidth="1"/>
    <col min="5" max="5" width="16.8515625" style="317" customWidth="1"/>
    <col min="6" max="6" width="0.71875" style="317" hidden="1" customWidth="1"/>
    <col min="7" max="16384" width="9.140625" style="317" customWidth="1"/>
  </cols>
  <sheetData>
    <row r="1" ht="12.75">
      <c r="A1" s="439"/>
    </row>
    <row r="2" spans="1:6" ht="12.75">
      <c r="A2" s="471" t="s">
        <v>345</v>
      </c>
      <c r="B2" s="471"/>
      <c r="C2" s="471"/>
      <c r="D2" s="471"/>
      <c r="E2" s="471"/>
      <c r="F2" s="471"/>
    </row>
    <row r="3" ht="12.75">
      <c r="A3" s="439"/>
    </row>
    <row r="4" ht="12.75">
      <c r="A4" s="439"/>
    </row>
    <row r="5" ht="12.75">
      <c r="A5" s="439"/>
    </row>
    <row r="6" spans="1:6" s="440" customFormat="1" ht="12.75">
      <c r="A6" s="472" t="s">
        <v>399</v>
      </c>
      <c r="B6" s="472"/>
      <c r="C6" s="472"/>
      <c r="D6" s="472"/>
      <c r="E6" s="472"/>
      <c r="F6" s="472"/>
    </row>
    <row r="7" ht="12.75">
      <c r="A7" s="439"/>
    </row>
    <row r="8" ht="12.75">
      <c r="A8" s="439"/>
    </row>
    <row r="9" ht="12.75">
      <c r="A9" s="441" t="s">
        <v>371</v>
      </c>
    </row>
    <row r="10" ht="12.75">
      <c r="A10" s="439"/>
    </row>
    <row r="11" spans="1:6" ht="43.5" customHeight="1">
      <c r="A11" s="473" t="s">
        <v>373</v>
      </c>
      <c r="B11" s="473"/>
      <c r="C11" s="473"/>
      <c r="D11" s="473"/>
      <c r="E11" s="473"/>
      <c r="F11" s="473"/>
    </row>
    <row r="13" spans="1:6" s="440" customFormat="1" ht="24" customHeight="1">
      <c r="A13" s="472" t="s">
        <v>346</v>
      </c>
      <c r="B13" s="472"/>
      <c r="C13" s="472"/>
      <c r="D13" s="472"/>
      <c r="E13" s="472"/>
      <c r="F13" s="472"/>
    </row>
    <row r="14" ht="12.75">
      <c r="A14" s="439"/>
    </row>
    <row r="15" ht="12.75">
      <c r="A15" s="439" t="s">
        <v>400</v>
      </c>
    </row>
    <row r="16" ht="12.75">
      <c r="A16" s="439" t="s">
        <v>401</v>
      </c>
    </row>
    <row r="17" ht="12.75">
      <c r="A17" s="439"/>
    </row>
    <row r="18" spans="1:5" ht="12.75">
      <c r="A18" s="442" t="s">
        <v>347</v>
      </c>
      <c r="B18" s="443" t="s">
        <v>348</v>
      </c>
      <c r="C18" s="443" t="s">
        <v>349</v>
      </c>
      <c r="D18" s="443" t="s">
        <v>350</v>
      </c>
      <c r="E18" s="443" t="s">
        <v>351</v>
      </c>
    </row>
    <row r="19" spans="1:5" ht="18">
      <c r="A19" s="444" t="s">
        <v>352</v>
      </c>
      <c r="B19" s="445" t="s">
        <v>353</v>
      </c>
      <c r="C19" s="446" t="s">
        <v>353</v>
      </c>
      <c r="D19" s="446" t="s">
        <v>353</v>
      </c>
      <c r="E19" s="446" t="s">
        <v>353</v>
      </c>
    </row>
    <row r="20" spans="1:5" ht="12.75">
      <c r="A20" s="447" t="s">
        <v>354</v>
      </c>
      <c r="B20" s="448" t="s">
        <v>355</v>
      </c>
      <c r="C20" s="449" t="s">
        <v>356</v>
      </c>
      <c r="D20" s="449" t="s">
        <v>357</v>
      </c>
      <c r="E20" s="449" t="s">
        <v>358</v>
      </c>
    </row>
    <row r="21" spans="1:5" ht="15.75">
      <c r="A21" s="450"/>
      <c r="B21" s="451"/>
      <c r="C21" s="452"/>
      <c r="D21" s="452"/>
      <c r="E21" s="452"/>
    </row>
    <row r="22" spans="1:5" ht="18">
      <c r="A22" s="447" t="s">
        <v>359</v>
      </c>
      <c r="B22" s="453" t="s">
        <v>353</v>
      </c>
      <c r="C22" s="454"/>
      <c r="D22" s="454"/>
      <c r="E22" s="454"/>
    </row>
    <row r="23" spans="1:5" ht="18">
      <c r="A23" s="444" t="s">
        <v>360</v>
      </c>
      <c r="B23" s="445" t="s">
        <v>353</v>
      </c>
      <c r="C23" s="452"/>
      <c r="D23" s="455" t="s">
        <v>372</v>
      </c>
      <c r="E23" s="452"/>
    </row>
    <row r="24" spans="1:5" ht="18.75">
      <c r="A24" s="447" t="s">
        <v>361</v>
      </c>
      <c r="B24" s="453" t="s">
        <v>353</v>
      </c>
      <c r="C24" s="456" t="s">
        <v>402</v>
      </c>
      <c r="D24" s="454"/>
      <c r="E24" s="454"/>
    </row>
    <row r="25" spans="1:5" ht="18.75">
      <c r="A25" s="457" t="s">
        <v>403</v>
      </c>
      <c r="B25" s="445"/>
      <c r="C25" s="458" t="s">
        <v>404</v>
      </c>
      <c r="D25" s="452"/>
      <c r="E25" s="452"/>
    </row>
    <row r="26" spans="1:5" ht="18">
      <c r="A26" s="447" t="s">
        <v>405</v>
      </c>
      <c r="B26" s="453" t="s">
        <v>353</v>
      </c>
      <c r="C26" s="456"/>
      <c r="D26" s="454"/>
      <c r="E26" s="454"/>
    </row>
    <row r="27" spans="1:5" ht="15.75">
      <c r="A27" s="450"/>
      <c r="B27" s="451"/>
      <c r="C27" s="452"/>
      <c r="D27" s="452"/>
      <c r="E27" s="452"/>
    </row>
    <row r="28" spans="1:5" ht="18.75">
      <c r="A28" s="447" t="s">
        <v>406</v>
      </c>
      <c r="B28" s="453" t="s">
        <v>407</v>
      </c>
      <c r="C28" s="454"/>
      <c r="D28" s="456" t="s">
        <v>353</v>
      </c>
      <c r="E28" s="454"/>
    </row>
    <row r="29" spans="1:5" ht="18">
      <c r="A29" s="444" t="s">
        <v>362</v>
      </c>
      <c r="B29" s="445" t="s">
        <v>353</v>
      </c>
      <c r="C29" s="452"/>
      <c r="D29" s="452"/>
      <c r="E29" s="452"/>
    </row>
    <row r="30" spans="1:5" ht="18">
      <c r="A30" s="447" t="s">
        <v>363</v>
      </c>
      <c r="B30" s="459"/>
      <c r="C30" s="454"/>
      <c r="D30" s="456" t="s">
        <v>353</v>
      </c>
      <c r="E30" s="454"/>
    </row>
    <row r="31" spans="1:5" ht="15.75">
      <c r="A31" s="450"/>
      <c r="B31" s="451"/>
      <c r="C31" s="452"/>
      <c r="D31" s="452"/>
      <c r="E31" s="452"/>
    </row>
    <row r="32" spans="1:5" ht="21">
      <c r="A32" s="447" t="s">
        <v>364</v>
      </c>
      <c r="B32" s="459"/>
      <c r="C32" s="454"/>
      <c r="D32" s="456" t="s">
        <v>353</v>
      </c>
      <c r="E32" s="454"/>
    </row>
    <row r="33" spans="1:5" ht="15.75">
      <c r="A33" s="450"/>
      <c r="B33" s="451"/>
      <c r="C33" s="452"/>
      <c r="D33" s="452"/>
      <c r="E33" s="452"/>
    </row>
    <row r="34" spans="1:5" ht="18">
      <c r="A34" s="447" t="s">
        <v>408</v>
      </c>
      <c r="B34" s="453" t="s">
        <v>353</v>
      </c>
      <c r="C34" s="454"/>
      <c r="D34" s="456" t="s">
        <v>353</v>
      </c>
      <c r="E34" s="454"/>
    </row>
    <row r="35" spans="1:5" ht="21">
      <c r="A35" s="444" t="s">
        <v>365</v>
      </c>
      <c r="B35" s="451"/>
      <c r="C35" s="446" t="s">
        <v>353</v>
      </c>
      <c r="D35" s="452"/>
      <c r="E35" s="452"/>
    </row>
    <row r="36" spans="1:5" ht="18">
      <c r="A36" s="447" t="s">
        <v>366</v>
      </c>
      <c r="B36" s="453" t="s">
        <v>353</v>
      </c>
      <c r="C36" s="454"/>
      <c r="D36" s="454"/>
      <c r="E36" s="454"/>
    </row>
    <row r="37" spans="1:5" ht="15.75">
      <c r="A37" s="450"/>
      <c r="B37" s="451"/>
      <c r="C37" s="452"/>
      <c r="D37" s="452"/>
      <c r="E37" s="452"/>
    </row>
    <row r="38" spans="1:5" ht="18">
      <c r="A38" s="447" t="s">
        <v>367</v>
      </c>
      <c r="B38" s="459"/>
      <c r="C38" s="454"/>
      <c r="D38" s="454"/>
      <c r="E38" s="456" t="s">
        <v>353</v>
      </c>
    </row>
    <row r="39" spans="1:5" ht="18">
      <c r="A39" s="444" t="s">
        <v>368</v>
      </c>
      <c r="B39" s="445" t="s">
        <v>353</v>
      </c>
      <c r="C39" s="452"/>
      <c r="D39" s="452"/>
      <c r="E39" s="446" t="s">
        <v>353</v>
      </c>
    </row>
    <row r="40" spans="1:5" ht="18">
      <c r="A40" s="460"/>
      <c r="B40" s="461"/>
      <c r="C40" s="462"/>
      <c r="D40" s="462"/>
      <c r="E40" s="461"/>
    </row>
    <row r="41" spans="1:5" ht="15.75">
      <c r="A41" s="463"/>
      <c r="B41" s="464"/>
      <c r="C41" s="454"/>
      <c r="D41" s="454"/>
      <c r="E41" s="454"/>
    </row>
    <row r="42" spans="1:5" ht="12.75">
      <c r="A42" s="470" t="s">
        <v>411</v>
      </c>
      <c r="B42" s="470"/>
      <c r="C42" s="470"/>
      <c r="D42" s="470"/>
      <c r="E42" s="470"/>
    </row>
    <row r="43" spans="1:6" ht="12.75">
      <c r="A43" s="470" t="s">
        <v>409</v>
      </c>
      <c r="B43" s="470"/>
      <c r="C43" s="470"/>
      <c r="D43" s="470"/>
      <c r="E43" s="470"/>
      <c r="F43" s="465"/>
    </row>
    <row r="44" spans="1:6" ht="24" customHeight="1">
      <c r="A44" s="470" t="s">
        <v>410</v>
      </c>
      <c r="B44" s="470"/>
      <c r="C44" s="470"/>
      <c r="D44" s="470"/>
      <c r="E44" s="470"/>
      <c r="F44" s="466"/>
    </row>
    <row r="45" spans="1:5" ht="12.75">
      <c r="A45" s="470" t="s">
        <v>369</v>
      </c>
      <c r="B45" s="470"/>
      <c r="C45" s="470"/>
      <c r="D45" s="470"/>
      <c r="E45" s="470"/>
    </row>
    <row r="46" ht="12.75">
      <c r="A46" s="439" t="s">
        <v>370</v>
      </c>
    </row>
    <row r="47" ht="12.75">
      <c r="A47" s="439"/>
    </row>
    <row r="48" ht="12.75">
      <c r="A48" s="439"/>
    </row>
  </sheetData>
  <sheetProtection/>
  <mergeCells count="8">
    <mergeCell ref="A44:E44"/>
    <mergeCell ref="A45:E45"/>
    <mergeCell ref="A2:F2"/>
    <mergeCell ref="A6:F6"/>
    <mergeCell ref="A11:F11"/>
    <mergeCell ref="A13:F13"/>
    <mergeCell ref="A42:E42"/>
    <mergeCell ref="A43:E43"/>
  </mergeCells>
  <hyperlinks>
    <hyperlink ref="A6" r:id="rId1" display="http://www.motu.org.nz/"/>
    <hyperlink ref="A13" r:id="rId2" display="http://www.stats.govt.nz/datasets/govt-finance/local-authority-financial-statistics-by-council.htm"/>
  </hyperlinks>
  <printOptions/>
  <pageMargins left="0.75" right="0.75" top="1" bottom="1" header="0.5" footer="0.5"/>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dimension ref="A1:T79"/>
  <sheetViews>
    <sheetView zoomScale="80" zoomScaleNormal="80" zoomScalePageLayoutView="0" workbookViewId="0" topLeftCell="A1">
      <pane xSplit="1" ySplit="2" topLeftCell="E3" activePane="bottomRight" state="frozen"/>
      <selection pane="topLeft" activeCell="H29" sqref="H29"/>
      <selection pane="topRight" activeCell="H29" sqref="H29"/>
      <selection pane="bottomLeft" activeCell="H29" sqref="H29"/>
      <selection pane="bottomRight" activeCell="T75" sqref="T75"/>
    </sheetView>
  </sheetViews>
  <sheetFormatPr defaultColWidth="9.140625" defaultRowHeight="15" outlineLevelRow="1"/>
  <cols>
    <col min="1" max="1" width="32.421875" style="2" customWidth="1"/>
    <col min="2" max="16384" width="9.140625" style="1" customWidth="1"/>
  </cols>
  <sheetData>
    <row r="1" spans="1:19" ht="12.75">
      <c r="A1" s="21"/>
      <c r="B1" s="482" t="s">
        <v>48</v>
      </c>
      <c r="C1" s="483"/>
      <c r="D1" s="483"/>
      <c r="E1" s="483"/>
      <c r="F1" s="483"/>
      <c r="G1" s="483"/>
      <c r="H1" s="483"/>
      <c r="I1" s="483"/>
      <c r="J1" s="483"/>
      <c r="K1" s="483"/>
      <c r="L1" s="483"/>
      <c r="M1" s="483"/>
      <c r="N1" s="483"/>
      <c r="O1" s="483"/>
      <c r="P1" s="483"/>
      <c r="Q1" s="483"/>
      <c r="R1" s="483"/>
      <c r="S1" s="484"/>
    </row>
    <row r="2" spans="1:19" ht="12.75">
      <c r="A2" s="43"/>
      <c r="B2" s="88">
        <v>1991</v>
      </c>
      <c r="C2" s="88">
        <v>1992</v>
      </c>
      <c r="D2" s="88">
        <v>1993</v>
      </c>
      <c r="E2" s="88">
        <v>1994</v>
      </c>
      <c r="F2" s="88">
        <v>1995</v>
      </c>
      <c r="G2" s="88">
        <v>1996</v>
      </c>
      <c r="H2" s="88">
        <v>1997</v>
      </c>
      <c r="I2" s="44">
        <v>1998</v>
      </c>
      <c r="J2" s="44">
        <v>1999</v>
      </c>
      <c r="K2" s="44">
        <v>2000</v>
      </c>
      <c r="L2" s="44">
        <v>2001</v>
      </c>
      <c r="M2" s="44">
        <v>2002</v>
      </c>
      <c r="N2" s="44">
        <v>2003</v>
      </c>
      <c r="O2" s="44">
        <v>2004</v>
      </c>
      <c r="P2" s="44">
        <v>2005</v>
      </c>
      <c r="Q2" s="44">
        <v>2006</v>
      </c>
      <c r="R2" s="84">
        <v>2007</v>
      </c>
      <c r="S2" s="43">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v>12788</v>
      </c>
      <c r="C5" s="2">
        <v>12595</v>
      </c>
      <c r="D5" s="2">
        <v>11803</v>
      </c>
      <c r="E5" s="2">
        <v>11885</v>
      </c>
      <c r="F5" s="2">
        <v>11462</v>
      </c>
      <c r="G5" s="2">
        <v>11400</v>
      </c>
      <c r="H5" s="2">
        <v>11975</v>
      </c>
      <c r="I5" s="2">
        <v>11977</v>
      </c>
      <c r="J5" s="2">
        <v>11639</v>
      </c>
      <c r="K5" s="2">
        <v>12348</v>
      </c>
      <c r="L5" s="2">
        <v>13188</v>
      </c>
      <c r="M5" s="2">
        <v>14550</v>
      </c>
      <c r="N5" s="2">
        <v>16983</v>
      </c>
      <c r="O5" s="2">
        <v>18394</v>
      </c>
      <c r="P5" s="89">
        <v>20581</v>
      </c>
      <c r="Q5" s="89">
        <v>24070</v>
      </c>
      <c r="R5" s="89">
        <v>29438</v>
      </c>
      <c r="S5" s="5">
        <v>28792</v>
      </c>
    </row>
    <row r="6" spans="1:19" ht="12.75">
      <c r="A6" s="47" t="s">
        <v>28</v>
      </c>
      <c r="B6" s="2"/>
      <c r="C6" s="2"/>
      <c r="D6" s="2"/>
      <c r="E6" s="2"/>
      <c r="F6" s="2"/>
      <c r="G6" s="2"/>
      <c r="H6" s="2"/>
      <c r="I6" s="2"/>
      <c r="J6" s="2"/>
      <c r="K6" s="2"/>
      <c r="L6" s="2"/>
      <c r="M6" s="2"/>
      <c r="N6" s="2"/>
      <c r="O6" s="2"/>
      <c r="P6" s="2"/>
      <c r="Q6" s="2"/>
      <c r="R6" s="2"/>
      <c r="S6" s="5"/>
    </row>
    <row r="7" spans="1:19" ht="12.75">
      <c r="A7" s="47" t="s">
        <v>27</v>
      </c>
      <c r="B7" s="2">
        <f>B18</f>
        <v>0</v>
      </c>
      <c r="C7" s="2">
        <f aca="true" t="shared" si="0" ref="C7:S7">C18</f>
        <v>0</v>
      </c>
      <c r="D7" s="2">
        <f t="shared" si="0"/>
        <v>0</v>
      </c>
      <c r="E7" s="2">
        <f t="shared" si="0"/>
        <v>0</v>
      </c>
      <c r="F7" s="2">
        <f t="shared" si="0"/>
        <v>0</v>
      </c>
      <c r="G7" s="2">
        <f t="shared" si="0"/>
        <v>0</v>
      </c>
      <c r="H7" s="2">
        <f t="shared" si="0"/>
        <v>0</v>
      </c>
      <c r="I7" s="2">
        <f t="shared" si="0"/>
        <v>0</v>
      </c>
      <c r="J7" s="2">
        <f t="shared" si="0"/>
        <v>0</v>
      </c>
      <c r="K7" s="2">
        <f t="shared" si="0"/>
        <v>0</v>
      </c>
      <c r="L7" s="2">
        <f t="shared" si="0"/>
        <v>0</v>
      </c>
      <c r="M7" s="2">
        <f t="shared" si="0"/>
        <v>0</v>
      </c>
      <c r="N7" s="2">
        <f t="shared" si="0"/>
        <v>0</v>
      </c>
      <c r="O7" s="2">
        <f t="shared" si="0"/>
        <v>0</v>
      </c>
      <c r="P7" s="2">
        <f t="shared" si="0"/>
        <v>0</v>
      </c>
      <c r="Q7" s="2">
        <f t="shared" si="0"/>
        <v>0</v>
      </c>
      <c r="R7" s="2">
        <f t="shared" si="0"/>
        <v>0</v>
      </c>
      <c r="S7" s="5">
        <f t="shared" si="0"/>
        <v>0</v>
      </c>
    </row>
    <row r="8" spans="1:19" ht="12.75">
      <c r="A8" s="47" t="s">
        <v>26</v>
      </c>
      <c r="B8" s="2">
        <f>B24</f>
        <v>0</v>
      </c>
      <c r="C8" s="2">
        <f aca="true" t="shared" si="1" ref="C8:S8">C24</f>
        <v>0</v>
      </c>
      <c r="D8" s="2">
        <f t="shared" si="1"/>
        <v>0</v>
      </c>
      <c r="E8" s="2">
        <f t="shared" si="1"/>
        <v>0</v>
      </c>
      <c r="F8" s="2">
        <f t="shared" si="1"/>
        <v>0</v>
      </c>
      <c r="G8" s="2">
        <f t="shared" si="1"/>
        <v>0</v>
      </c>
      <c r="H8" s="2">
        <f t="shared" si="1"/>
        <v>0</v>
      </c>
      <c r="I8" s="2">
        <f t="shared" si="1"/>
        <v>0</v>
      </c>
      <c r="J8" s="2">
        <f t="shared" si="1"/>
        <v>0</v>
      </c>
      <c r="K8" s="2">
        <f t="shared" si="1"/>
        <v>0</v>
      </c>
      <c r="L8" s="2">
        <f t="shared" si="1"/>
        <v>0</v>
      </c>
      <c r="M8" s="2">
        <f t="shared" si="1"/>
        <v>0</v>
      </c>
      <c r="N8" s="2">
        <f t="shared" si="1"/>
        <v>0</v>
      </c>
      <c r="O8" s="2">
        <f t="shared" si="1"/>
        <v>0</v>
      </c>
      <c r="P8" s="2">
        <f t="shared" si="1"/>
        <v>0</v>
      </c>
      <c r="Q8" s="2">
        <f t="shared" si="1"/>
        <v>0</v>
      </c>
      <c r="R8" s="2">
        <f t="shared" si="1"/>
        <v>0</v>
      </c>
      <c r="S8" s="5">
        <f t="shared" si="1"/>
        <v>0</v>
      </c>
    </row>
    <row r="9" spans="1:19" ht="12.75">
      <c r="A9" s="59" t="s">
        <v>35</v>
      </c>
      <c r="B9" s="78">
        <f>B36</f>
        <v>3670</v>
      </c>
      <c r="C9" s="78">
        <f aca="true" t="shared" si="2" ref="C9:S9">C36</f>
        <v>3908</v>
      </c>
      <c r="D9" s="78">
        <f t="shared" si="2"/>
        <v>4001</v>
      </c>
      <c r="E9" s="78">
        <f t="shared" si="2"/>
        <v>4004</v>
      </c>
      <c r="F9" s="13">
        <f t="shared" si="2"/>
        <v>4016</v>
      </c>
      <c r="G9" s="13">
        <f t="shared" si="2"/>
        <v>4283</v>
      </c>
      <c r="H9" s="13">
        <f t="shared" si="2"/>
        <v>4447</v>
      </c>
      <c r="I9" s="13">
        <f t="shared" si="2"/>
        <v>4631</v>
      </c>
      <c r="J9" s="13">
        <f t="shared" si="2"/>
        <v>5117</v>
      </c>
      <c r="K9" s="13">
        <f t="shared" si="2"/>
        <v>5484</v>
      </c>
      <c r="L9" s="13">
        <f t="shared" si="2"/>
        <v>5760</v>
      </c>
      <c r="M9" s="13">
        <f t="shared" si="2"/>
        <v>5735</v>
      </c>
      <c r="N9" s="13">
        <f t="shared" si="2"/>
        <v>7947</v>
      </c>
      <c r="O9" s="13">
        <f t="shared" si="2"/>
        <v>8575</v>
      </c>
      <c r="P9" s="13">
        <f t="shared" si="2"/>
        <v>9516</v>
      </c>
      <c r="Q9" s="13">
        <f t="shared" si="2"/>
        <v>10691</v>
      </c>
      <c r="R9" s="13">
        <f t="shared" si="2"/>
        <v>14044</v>
      </c>
      <c r="S9" s="12">
        <f t="shared" si="2"/>
        <v>15005</v>
      </c>
    </row>
    <row r="10" spans="1:19" ht="12.75">
      <c r="A10" s="59" t="s">
        <v>43</v>
      </c>
      <c r="B10" s="78">
        <f>B48</f>
        <v>0</v>
      </c>
      <c r="C10" s="78">
        <f aca="true" t="shared" si="3" ref="C10:S10">C48</f>
        <v>0</v>
      </c>
      <c r="D10" s="78">
        <f t="shared" si="3"/>
        <v>0</v>
      </c>
      <c r="E10" s="78">
        <f t="shared" si="3"/>
        <v>0</v>
      </c>
      <c r="F10" s="13">
        <f t="shared" si="3"/>
        <v>0</v>
      </c>
      <c r="G10" s="13">
        <f t="shared" si="3"/>
        <v>0</v>
      </c>
      <c r="H10" s="13">
        <f t="shared" si="3"/>
        <v>0</v>
      </c>
      <c r="I10" s="13">
        <f t="shared" si="3"/>
        <v>666</v>
      </c>
      <c r="J10" s="13">
        <f t="shared" si="3"/>
        <v>783</v>
      </c>
      <c r="K10" s="13">
        <f t="shared" si="3"/>
        <v>792</v>
      </c>
      <c r="L10" s="13">
        <f t="shared" si="3"/>
        <v>874</v>
      </c>
      <c r="M10" s="13">
        <f t="shared" si="3"/>
        <v>879</v>
      </c>
      <c r="N10" s="13">
        <f t="shared" si="3"/>
        <v>830</v>
      </c>
      <c r="O10" s="13">
        <f t="shared" si="3"/>
        <v>842</v>
      </c>
      <c r="P10" s="13">
        <f t="shared" si="3"/>
        <v>1605</v>
      </c>
      <c r="Q10" s="13">
        <f t="shared" si="3"/>
        <v>1598</v>
      </c>
      <c r="R10" s="13">
        <f t="shared" si="3"/>
        <v>1644</v>
      </c>
      <c r="S10" s="12">
        <f t="shared" si="3"/>
        <v>5054</v>
      </c>
    </row>
    <row r="11" spans="1:19" ht="12.75">
      <c r="A11" s="59" t="s">
        <v>44</v>
      </c>
      <c r="B11" s="78">
        <f>B42</f>
        <v>0</v>
      </c>
      <c r="C11" s="78">
        <f aca="true" t="shared" si="4" ref="C11:S11">C42</f>
        <v>0</v>
      </c>
      <c r="D11" s="78">
        <f t="shared" si="4"/>
        <v>0</v>
      </c>
      <c r="E11" s="78">
        <f t="shared" si="4"/>
        <v>0</v>
      </c>
      <c r="F11" s="13">
        <f t="shared" si="4"/>
        <v>0</v>
      </c>
      <c r="G11" s="13">
        <f t="shared" si="4"/>
        <v>0</v>
      </c>
      <c r="H11" s="13">
        <f t="shared" si="4"/>
        <v>0</v>
      </c>
      <c r="I11" s="13">
        <f t="shared" si="4"/>
        <v>133</v>
      </c>
      <c r="J11" s="13">
        <f t="shared" si="4"/>
        <v>0</v>
      </c>
      <c r="K11" s="13">
        <f t="shared" si="4"/>
        <v>0</v>
      </c>
      <c r="L11" s="13">
        <f t="shared" si="4"/>
        <v>0</v>
      </c>
      <c r="M11" s="13">
        <f t="shared" si="4"/>
        <v>0</v>
      </c>
      <c r="N11" s="13">
        <f t="shared" si="4"/>
        <v>0</v>
      </c>
      <c r="O11" s="13">
        <f t="shared" si="4"/>
        <v>0</v>
      </c>
      <c r="P11" s="13">
        <f t="shared" si="4"/>
        <v>1382</v>
      </c>
      <c r="Q11" s="13">
        <f t="shared" si="4"/>
        <v>2763</v>
      </c>
      <c r="R11" s="13">
        <f t="shared" si="4"/>
        <v>3610</v>
      </c>
      <c r="S11" s="12">
        <f t="shared" si="4"/>
        <v>3811</v>
      </c>
    </row>
    <row r="12" spans="1:19" ht="12.75">
      <c r="A12" s="47" t="s">
        <v>25</v>
      </c>
      <c r="B12" s="2">
        <f>B30</f>
        <v>0</v>
      </c>
      <c r="C12" s="2">
        <f aca="true" t="shared" si="5" ref="C12:S12">C30</f>
        <v>0</v>
      </c>
      <c r="D12" s="2">
        <f t="shared" si="5"/>
        <v>0</v>
      </c>
      <c r="E12" s="2">
        <f t="shared" si="5"/>
        <v>0</v>
      </c>
      <c r="F12" s="2">
        <f t="shared" si="5"/>
        <v>0</v>
      </c>
      <c r="G12" s="2">
        <f t="shared" si="5"/>
        <v>0</v>
      </c>
      <c r="H12" s="2">
        <f t="shared" si="5"/>
        <v>0</v>
      </c>
      <c r="I12" s="2">
        <f t="shared" si="5"/>
        <v>0</v>
      </c>
      <c r="J12" s="2">
        <f t="shared" si="5"/>
        <v>0</v>
      </c>
      <c r="K12" s="2">
        <f t="shared" si="5"/>
        <v>0</v>
      </c>
      <c r="L12" s="2">
        <f t="shared" si="5"/>
        <v>0</v>
      </c>
      <c r="M12" s="2">
        <f t="shared" si="5"/>
        <v>0</v>
      </c>
      <c r="N12" s="2">
        <f t="shared" si="5"/>
        <v>0</v>
      </c>
      <c r="O12" s="2">
        <f t="shared" si="5"/>
        <v>0</v>
      </c>
      <c r="P12" s="2">
        <f t="shared" si="5"/>
        <v>0</v>
      </c>
      <c r="Q12" s="2">
        <f t="shared" si="5"/>
        <v>0</v>
      </c>
      <c r="R12" s="2">
        <f t="shared" si="5"/>
        <v>0</v>
      </c>
      <c r="S12" s="5">
        <f t="shared" si="5"/>
        <v>0</v>
      </c>
    </row>
    <row r="13" spans="1:19" ht="12.75">
      <c r="A13" s="46" t="s">
        <v>24</v>
      </c>
      <c r="B13" s="42">
        <v>3670</v>
      </c>
      <c r="C13" s="42">
        <v>3992</v>
      </c>
      <c r="D13" s="42">
        <v>4001</v>
      </c>
      <c r="E13" s="42">
        <v>4004</v>
      </c>
      <c r="F13" s="42">
        <v>4895</v>
      </c>
      <c r="G13" s="42">
        <v>5316</v>
      </c>
      <c r="H13" s="42">
        <v>5524</v>
      </c>
      <c r="I13" s="42">
        <v>6590</v>
      </c>
      <c r="J13" s="42">
        <v>7207</v>
      </c>
      <c r="K13" s="42">
        <v>7551</v>
      </c>
      <c r="L13" s="42">
        <v>7945</v>
      </c>
      <c r="M13" s="42">
        <v>8257</v>
      </c>
      <c r="N13" s="42">
        <v>11661</v>
      </c>
      <c r="O13" s="42">
        <v>13423</v>
      </c>
      <c r="P13" s="42">
        <v>18144</v>
      </c>
      <c r="Q13" s="42">
        <v>20802</v>
      </c>
      <c r="R13" s="42">
        <v>24028</v>
      </c>
      <c r="S13" s="28">
        <v>30976</v>
      </c>
    </row>
    <row r="14" spans="1:19" ht="12.75">
      <c r="A14" s="47" t="s">
        <v>23</v>
      </c>
      <c r="B14" s="2"/>
      <c r="C14" s="2"/>
      <c r="D14" s="2"/>
      <c r="E14" s="2"/>
      <c r="F14" s="2"/>
      <c r="G14" s="2"/>
      <c r="H14" s="2"/>
      <c r="I14" s="2"/>
      <c r="J14" s="2"/>
      <c r="K14" s="2"/>
      <c r="L14" s="2"/>
      <c r="M14" s="2"/>
      <c r="N14" s="2"/>
      <c r="O14" s="2"/>
      <c r="P14" s="2"/>
      <c r="Q14" s="2"/>
      <c r="R14" s="2"/>
      <c r="S14" s="5">
        <f>-307</f>
        <v>-307</v>
      </c>
    </row>
    <row r="15" spans="1:19" ht="12.75">
      <c r="A15" s="48" t="s">
        <v>22</v>
      </c>
      <c r="B15" s="17">
        <f>SUM(B5,B13)</f>
        <v>16458</v>
      </c>
      <c r="C15" s="17">
        <f aca="true" t="shared" si="6" ref="C15:R15">SUM(C5,C13)</f>
        <v>16587</v>
      </c>
      <c r="D15" s="17">
        <f t="shared" si="6"/>
        <v>15804</v>
      </c>
      <c r="E15" s="17">
        <f t="shared" si="6"/>
        <v>15889</v>
      </c>
      <c r="F15" s="17">
        <f t="shared" si="6"/>
        <v>16357</v>
      </c>
      <c r="G15" s="17">
        <f t="shared" si="6"/>
        <v>16716</v>
      </c>
      <c r="H15" s="17">
        <f t="shared" si="6"/>
        <v>17499</v>
      </c>
      <c r="I15" s="17">
        <f t="shared" si="6"/>
        <v>18567</v>
      </c>
      <c r="J15" s="17">
        <f t="shared" si="6"/>
        <v>18846</v>
      </c>
      <c r="K15" s="17">
        <f>SUM(K5,K13)</f>
        <v>19899</v>
      </c>
      <c r="L15" s="17">
        <f t="shared" si="6"/>
        <v>21133</v>
      </c>
      <c r="M15" s="17">
        <f t="shared" si="6"/>
        <v>22807</v>
      </c>
      <c r="N15" s="17">
        <f t="shared" si="6"/>
        <v>28644</v>
      </c>
      <c r="O15" s="17">
        <f t="shared" si="6"/>
        <v>31817</v>
      </c>
      <c r="P15" s="17">
        <f>SUM(P5,P13)</f>
        <v>38725</v>
      </c>
      <c r="Q15" s="17">
        <f t="shared" si="6"/>
        <v>44872</v>
      </c>
      <c r="R15" s="17">
        <f t="shared" si="6"/>
        <v>53466</v>
      </c>
      <c r="S15" s="16">
        <f>SUM(S5,S13,S14)</f>
        <v>59461</v>
      </c>
    </row>
    <row r="16" spans="1:19" ht="12.75">
      <c r="A16" s="5"/>
      <c r="B16" s="42"/>
      <c r="C16" s="42"/>
      <c r="D16" s="42"/>
      <c r="E16" s="42"/>
      <c r="F16" s="42"/>
      <c r="G16" s="42"/>
      <c r="H16" s="42"/>
      <c r="I16" s="42"/>
      <c r="J16" s="42"/>
      <c r="K16" s="42"/>
      <c r="L16" s="42"/>
      <c r="M16" s="42"/>
      <c r="N16" s="42"/>
      <c r="O16" s="42"/>
      <c r="P16" s="42"/>
      <c r="Q16" s="42"/>
      <c r="R16" s="42"/>
      <c r="S16" s="28"/>
    </row>
    <row r="17" spans="1:19" ht="12.75" hidden="1" outlineLevel="1">
      <c r="A17" s="41" t="s">
        <v>21</v>
      </c>
      <c r="B17" s="40"/>
      <c r="C17" s="40"/>
      <c r="D17" s="40"/>
      <c r="E17" s="40"/>
      <c r="F17" s="40"/>
      <c r="G17" s="40"/>
      <c r="H17" s="40"/>
      <c r="I17" s="40"/>
      <c r="J17" s="40"/>
      <c r="K17" s="40"/>
      <c r="L17" s="40"/>
      <c r="M17" s="40"/>
      <c r="N17" s="40"/>
      <c r="O17" s="40"/>
      <c r="P17" s="40"/>
      <c r="Q17" s="40"/>
      <c r="R17" s="40"/>
      <c r="S17" s="39"/>
    </row>
    <row r="18" spans="1:19" ht="12.75" hidden="1" outlineLevel="1">
      <c r="A18" s="47" t="s">
        <v>12</v>
      </c>
      <c r="B18" s="30"/>
      <c r="C18" s="30"/>
      <c r="D18" s="30"/>
      <c r="E18" s="30"/>
      <c r="F18" s="30"/>
      <c r="G18" s="30"/>
      <c r="H18" s="30"/>
      <c r="I18" s="30"/>
      <c r="J18" s="30"/>
      <c r="K18" s="30"/>
      <c r="L18" s="30"/>
      <c r="M18" s="30"/>
      <c r="N18" s="30"/>
      <c r="O18" s="30"/>
      <c r="P18" s="30"/>
      <c r="Q18" s="30"/>
      <c r="R18" s="30"/>
      <c r="S18" s="5"/>
    </row>
    <row r="19" spans="1:19" ht="25.5" hidden="1" outlineLevel="1">
      <c r="A19" s="47" t="s">
        <v>16</v>
      </c>
      <c r="B19" s="30"/>
      <c r="C19" s="30"/>
      <c r="D19" s="30"/>
      <c r="E19" s="30"/>
      <c r="F19" s="30"/>
      <c r="G19" s="30"/>
      <c r="H19" s="30"/>
      <c r="I19" s="30"/>
      <c r="J19" s="30"/>
      <c r="K19" s="30"/>
      <c r="L19" s="30"/>
      <c r="M19" s="30"/>
      <c r="N19" s="30"/>
      <c r="O19" s="30"/>
      <c r="P19" s="30"/>
      <c r="Q19" s="30"/>
      <c r="R19" s="30"/>
      <c r="S19" s="5"/>
    </row>
    <row r="20" spans="1:19" ht="12.75" hidden="1" outlineLevel="1">
      <c r="A20" s="46" t="s">
        <v>20</v>
      </c>
      <c r="B20" s="29">
        <f>SUM(B18:B19)</f>
        <v>0</v>
      </c>
      <c r="C20" s="29">
        <f aca="true" t="shared" si="7" ref="C20:S20">SUM(C18:C19)</f>
        <v>0</v>
      </c>
      <c r="D20" s="29">
        <f t="shared" si="7"/>
        <v>0</v>
      </c>
      <c r="E20" s="29">
        <f t="shared" si="7"/>
        <v>0</v>
      </c>
      <c r="F20" s="29">
        <f t="shared" si="7"/>
        <v>0</v>
      </c>
      <c r="G20" s="29">
        <f t="shared" si="7"/>
        <v>0</v>
      </c>
      <c r="H20" s="29">
        <f t="shared" si="7"/>
        <v>0</v>
      </c>
      <c r="I20" s="29">
        <f t="shared" si="7"/>
        <v>0</v>
      </c>
      <c r="J20" s="29">
        <f t="shared" si="7"/>
        <v>0</v>
      </c>
      <c r="K20" s="29">
        <f t="shared" si="7"/>
        <v>0</v>
      </c>
      <c r="L20" s="29">
        <f t="shared" si="7"/>
        <v>0</v>
      </c>
      <c r="M20" s="29">
        <f t="shared" si="7"/>
        <v>0</v>
      </c>
      <c r="N20" s="29">
        <f t="shared" si="7"/>
        <v>0</v>
      </c>
      <c r="O20" s="29">
        <f t="shared" si="7"/>
        <v>0</v>
      </c>
      <c r="P20" s="29">
        <f t="shared" si="7"/>
        <v>0</v>
      </c>
      <c r="Q20" s="29">
        <f t="shared" si="7"/>
        <v>0</v>
      </c>
      <c r="R20" s="29">
        <f t="shared" si="7"/>
        <v>0</v>
      </c>
      <c r="S20" s="28">
        <f t="shared" si="7"/>
        <v>0</v>
      </c>
    </row>
    <row r="21" spans="1:19" ht="12.75" hidden="1" outlineLevel="1">
      <c r="A21" s="49" t="s">
        <v>14</v>
      </c>
      <c r="B21" s="27"/>
      <c r="C21" s="27"/>
      <c r="D21" s="27"/>
      <c r="E21" s="27"/>
      <c r="F21" s="27"/>
      <c r="G21" s="27"/>
      <c r="H21" s="27"/>
      <c r="I21" s="27"/>
      <c r="J21" s="27"/>
      <c r="K21" s="27"/>
      <c r="L21" s="27"/>
      <c r="M21" s="27"/>
      <c r="N21" s="27"/>
      <c r="O21" s="27"/>
      <c r="P21" s="27"/>
      <c r="Q21" s="27"/>
      <c r="R21" s="27"/>
      <c r="S21" s="26"/>
    </row>
    <row r="22" spans="1:19" ht="12.75" hidden="1" outlineLevel="1">
      <c r="A22" s="5"/>
      <c r="B22" s="42"/>
      <c r="C22" s="42"/>
      <c r="D22" s="42"/>
      <c r="E22" s="42"/>
      <c r="F22" s="42"/>
      <c r="G22" s="42"/>
      <c r="H22" s="42"/>
      <c r="I22" s="42"/>
      <c r="J22" s="42"/>
      <c r="K22" s="42"/>
      <c r="L22" s="42"/>
      <c r="M22" s="42"/>
      <c r="N22" s="42"/>
      <c r="O22" s="42"/>
      <c r="P22" s="42"/>
      <c r="Q22" s="42"/>
      <c r="R22" s="42"/>
      <c r="S22" s="28"/>
    </row>
    <row r="23" spans="1:19" ht="12.75" hidden="1" outlineLevel="1">
      <c r="A23" s="38" t="s">
        <v>19</v>
      </c>
      <c r="B23" s="37"/>
      <c r="C23" s="37"/>
      <c r="D23" s="37"/>
      <c r="E23" s="37"/>
      <c r="F23" s="37"/>
      <c r="G23" s="37"/>
      <c r="H23" s="37"/>
      <c r="I23" s="37"/>
      <c r="J23" s="37"/>
      <c r="K23" s="37"/>
      <c r="L23" s="37"/>
      <c r="M23" s="37"/>
      <c r="N23" s="37"/>
      <c r="O23" s="37"/>
      <c r="P23" s="37"/>
      <c r="Q23" s="37"/>
      <c r="R23" s="37"/>
      <c r="S23" s="36"/>
    </row>
    <row r="24" spans="1:19" ht="12.75" hidden="1" outlineLevel="1">
      <c r="A24" s="47" t="s">
        <v>12</v>
      </c>
      <c r="B24" s="30"/>
      <c r="C24" s="30"/>
      <c r="D24" s="30"/>
      <c r="E24" s="30"/>
      <c r="F24" s="30"/>
      <c r="G24" s="30"/>
      <c r="H24" s="30"/>
      <c r="I24" s="30"/>
      <c r="J24" s="30"/>
      <c r="K24" s="30"/>
      <c r="L24" s="30"/>
      <c r="M24" s="30"/>
      <c r="N24" s="30"/>
      <c r="O24" s="30"/>
      <c r="P24" s="64"/>
      <c r="Q24" s="64"/>
      <c r="R24" s="64"/>
      <c r="S24" s="85"/>
    </row>
    <row r="25" spans="1:19" ht="25.5" hidden="1" outlineLevel="1">
      <c r="A25" s="47" t="s">
        <v>16</v>
      </c>
      <c r="B25" s="30"/>
      <c r="C25" s="30"/>
      <c r="D25" s="30"/>
      <c r="E25" s="30"/>
      <c r="F25" s="30"/>
      <c r="G25" s="30"/>
      <c r="H25" s="30"/>
      <c r="I25" s="30"/>
      <c r="J25" s="30"/>
      <c r="K25" s="30"/>
      <c r="L25" s="30"/>
      <c r="M25" s="30"/>
      <c r="N25" s="30"/>
      <c r="O25" s="30"/>
      <c r="P25" s="30"/>
      <c r="Q25" s="30"/>
      <c r="R25" s="30"/>
      <c r="S25" s="5"/>
    </row>
    <row r="26" spans="1:19" ht="12.75" hidden="1" outlineLevel="1">
      <c r="A26" s="46" t="s">
        <v>18</v>
      </c>
      <c r="B26" s="29">
        <f aca="true" t="shared" si="8" ref="B26:S26">SUM(B24:B25)</f>
        <v>0</v>
      </c>
      <c r="C26" s="29">
        <f t="shared" si="8"/>
        <v>0</v>
      </c>
      <c r="D26" s="29">
        <f t="shared" si="8"/>
        <v>0</v>
      </c>
      <c r="E26" s="29">
        <f t="shared" si="8"/>
        <v>0</v>
      </c>
      <c r="F26" s="29">
        <f t="shared" si="8"/>
        <v>0</v>
      </c>
      <c r="G26" s="29">
        <f t="shared" si="8"/>
        <v>0</v>
      </c>
      <c r="H26" s="29">
        <f t="shared" si="8"/>
        <v>0</v>
      </c>
      <c r="I26" s="29">
        <f t="shared" si="8"/>
        <v>0</v>
      </c>
      <c r="J26" s="29">
        <f t="shared" si="8"/>
        <v>0</v>
      </c>
      <c r="K26" s="29">
        <f t="shared" si="8"/>
        <v>0</v>
      </c>
      <c r="L26" s="29">
        <f t="shared" si="8"/>
        <v>0</v>
      </c>
      <c r="M26" s="29">
        <f t="shared" si="8"/>
        <v>0</v>
      </c>
      <c r="N26" s="29">
        <f t="shared" si="8"/>
        <v>0</v>
      </c>
      <c r="O26" s="29">
        <f t="shared" si="8"/>
        <v>0</v>
      </c>
      <c r="P26" s="29">
        <f t="shared" si="8"/>
        <v>0</v>
      </c>
      <c r="Q26" s="29">
        <f t="shared" si="8"/>
        <v>0</v>
      </c>
      <c r="R26" s="29">
        <f t="shared" si="8"/>
        <v>0</v>
      </c>
      <c r="S26" s="28">
        <f t="shared" si="8"/>
        <v>0</v>
      </c>
    </row>
    <row r="27" spans="1:19" ht="12.75" hidden="1" outlineLevel="1">
      <c r="A27" s="51" t="s">
        <v>14</v>
      </c>
      <c r="B27" s="35"/>
      <c r="C27" s="35"/>
      <c r="D27" s="35"/>
      <c r="E27" s="35"/>
      <c r="F27" s="35"/>
      <c r="G27" s="35"/>
      <c r="H27" s="35"/>
      <c r="I27" s="35"/>
      <c r="J27" s="35"/>
      <c r="K27" s="35"/>
      <c r="L27" s="35"/>
      <c r="M27" s="35"/>
      <c r="N27" s="35"/>
      <c r="O27" s="35"/>
      <c r="P27" s="35"/>
      <c r="Q27" s="35"/>
      <c r="R27" s="35"/>
      <c r="S27" s="34"/>
    </row>
    <row r="28" spans="1:19" ht="12.75" hidden="1" outlineLevel="1">
      <c r="A28" s="5"/>
      <c r="B28" s="42"/>
      <c r="C28" s="42"/>
      <c r="D28" s="42"/>
      <c r="E28" s="42"/>
      <c r="F28" s="42"/>
      <c r="G28" s="42"/>
      <c r="H28" s="42"/>
      <c r="I28" s="42"/>
      <c r="J28" s="42"/>
      <c r="K28" s="42"/>
      <c r="L28" s="42"/>
      <c r="M28" s="42"/>
      <c r="N28" s="42"/>
      <c r="O28" s="42"/>
      <c r="P28" s="42"/>
      <c r="Q28" s="42"/>
      <c r="R28" s="42"/>
      <c r="S28" s="28"/>
    </row>
    <row r="29" spans="1:19" ht="12.75" collapsed="1">
      <c r="A29" s="33" t="s">
        <v>17</v>
      </c>
      <c r="B29" s="32"/>
      <c r="C29" s="32"/>
      <c r="D29" s="32"/>
      <c r="E29" s="32"/>
      <c r="F29" s="32"/>
      <c r="G29" s="32"/>
      <c r="H29" s="32"/>
      <c r="I29" s="32"/>
      <c r="J29" s="32"/>
      <c r="K29" s="32"/>
      <c r="L29" s="32"/>
      <c r="M29" s="32"/>
      <c r="N29" s="32"/>
      <c r="O29" s="32"/>
      <c r="P29" s="32"/>
      <c r="Q29" s="32"/>
      <c r="R29" s="32"/>
      <c r="S29" s="31"/>
    </row>
    <row r="30" spans="1:19" ht="12.75">
      <c r="A30" s="47" t="s">
        <v>12</v>
      </c>
      <c r="B30" s="30"/>
      <c r="C30" s="30"/>
      <c r="D30" s="30"/>
      <c r="E30" s="30"/>
      <c r="F30" s="30"/>
      <c r="G30" s="30"/>
      <c r="H30" s="30"/>
      <c r="I30" s="30"/>
      <c r="J30" s="30"/>
      <c r="K30" s="30"/>
      <c r="L30" s="30"/>
      <c r="M30" s="30"/>
      <c r="N30" s="30"/>
      <c r="O30" s="30"/>
      <c r="P30" s="30"/>
      <c r="Q30" s="30"/>
      <c r="R30" s="30"/>
      <c r="S30" s="5"/>
    </row>
    <row r="31" spans="1:19" ht="25.5">
      <c r="A31" s="47" t="s">
        <v>16</v>
      </c>
      <c r="B31" s="30"/>
      <c r="C31" s="30"/>
      <c r="D31" s="30"/>
      <c r="E31" s="30"/>
      <c r="F31" s="30"/>
      <c r="G31" s="30"/>
      <c r="H31" s="30"/>
      <c r="I31" s="30"/>
      <c r="J31" s="30"/>
      <c r="K31" s="30"/>
      <c r="L31" s="30"/>
      <c r="M31" s="30">
        <v>85</v>
      </c>
      <c r="N31" s="30">
        <v>70</v>
      </c>
      <c r="O31" s="30">
        <v>33</v>
      </c>
      <c r="P31" s="30">
        <f>120+82</f>
        <v>202</v>
      </c>
      <c r="Q31" s="30">
        <f>244+77</f>
        <v>321</v>
      </c>
      <c r="R31" s="64">
        <v>935</v>
      </c>
      <c r="S31" s="5">
        <v>293</v>
      </c>
    </row>
    <row r="32" spans="1:19" ht="12.75">
      <c r="A32" s="46" t="s">
        <v>15</v>
      </c>
      <c r="B32" s="29">
        <f aca="true" t="shared" si="9" ref="B32:S32">SUM(B30:B31)</f>
        <v>0</v>
      </c>
      <c r="C32" s="29">
        <f t="shared" si="9"/>
        <v>0</v>
      </c>
      <c r="D32" s="29">
        <f t="shared" si="9"/>
        <v>0</v>
      </c>
      <c r="E32" s="29">
        <f t="shared" si="9"/>
        <v>0</v>
      </c>
      <c r="F32" s="29">
        <f t="shared" si="9"/>
        <v>0</v>
      </c>
      <c r="G32" s="29">
        <f t="shared" si="9"/>
        <v>0</v>
      </c>
      <c r="H32" s="29">
        <f t="shared" si="9"/>
        <v>0</v>
      </c>
      <c r="I32" s="29">
        <f t="shared" si="9"/>
        <v>0</v>
      </c>
      <c r="J32" s="29">
        <f t="shared" si="9"/>
        <v>0</v>
      </c>
      <c r="K32" s="29">
        <f t="shared" si="9"/>
        <v>0</v>
      </c>
      <c r="L32" s="29">
        <f t="shared" si="9"/>
        <v>0</v>
      </c>
      <c r="M32" s="29">
        <f t="shared" si="9"/>
        <v>85</v>
      </c>
      <c r="N32" s="29">
        <f t="shared" si="9"/>
        <v>70</v>
      </c>
      <c r="O32" s="29">
        <f t="shared" si="9"/>
        <v>33</v>
      </c>
      <c r="P32" s="29">
        <f t="shared" si="9"/>
        <v>202</v>
      </c>
      <c r="Q32" s="29">
        <f t="shared" si="9"/>
        <v>321</v>
      </c>
      <c r="R32" s="29">
        <f t="shared" si="9"/>
        <v>935</v>
      </c>
      <c r="S32" s="28">
        <f t="shared" si="9"/>
        <v>293</v>
      </c>
    </row>
    <row r="33" spans="1:19" ht="12.75">
      <c r="A33" s="49" t="s">
        <v>14</v>
      </c>
      <c r="B33" s="27"/>
      <c r="C33" s="27"/>
      <c r="D33" s="27"/>
      <c r="E33" s="27"/>
      <c r="F33" s="27"/>
      <c r="G33" s="27"/>
      <c r="H33" s="27"/>
      <c r="I33" s="27"/>
      <c r="J33" s="27"/>
      <c r="K33" s="27"/>
      <c r="L33" s="27"/>
      <c r="M33" s="27">
        <f>M32-515</f>
        <v>-430</v>
      </c>
      <c r="N33" s="27">
        <f>N32-560</f>
        <v>-490</v>
      </c>
      <c r="O33" s="27">
        <f>O32-609</f>
        <v>-576</v>
      </c>
      <c r="P33" s="27">
        <f>P32-790</f>
        <v>-588</v>
      </c>
      <c r="Q33" s="27">
        <f>Q32-745</f>
        <v>-424</v>
      </c>
      <c r="R33" s="27">
        <f>R32-935</f>
        <v>0</v>
      </c>
      <c r="S33" s="26">
        <f>S32-1350</f>
        <v>-1057</v>
      </c>
    </row>
    <row r="34" spans="1:19" ht="12.75">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v>3670</v>
      </c>
      <c r="C36" s="30">
        <v>3908</v>
      </c>
      <c r="D36" s="30">
        <f>1170+696+2135</f>
        <v>4001</v>
      </c>
      <c r="E36" s="30">
        <f>956+1849+1199</f>
        <v>4004</v>
      </c>
      <c r="F36" s="30">
        <f>1228+1827+961</f>
        <v>4016</v>
      </c>
      <c r="G36" s="30">
        <v>4283</v>
      </c>
      <c r="H36" s="30">
        <v>4447</v>
      </c>
      <c r="I36" s="30">
        <v>4631</v>
      </c>
      <c r="J36" s="30">
        <v>5117</v>
      </c>
      <c r="K36" s="30">
        <v>5484</v>
      </c>
      <c r="L36" s="30">
        <v>5760</v>
      </c>
      <c r="M36" s="30">
        <v>5735</v>
      </c>
      <c r="N36" s="30">
        <v>7947</v>
      </c>
      <c r="O36" s="30">
        <v>8575</v>
      </c>
      <c r="P36" s="90">
        <f>1413+8103</f>
        <v>9516</v>
      </c>
      <c r="Q36" s="90">
        <f>1500+9191</f>
        <v>10691</v>
      </c>
      <c r="R36" s="90">
        <v>14044</v>
      </c>
      <c r="S36" s="468">
        <v>15005</v>
      </c>
    </row>
    <row r="37" spans="1:19" ht="25.5">
      <c r="A37" s="47" t="s">
        <v>16</v>
      </c>
      <c r="B37" s="30">
        <f>B38-B36</f>
        <v>8096</v>
      </c>
      <c r="C37" s="30">
        <f>C38-C36</f>
        <v>6304</v>
      </c>
      <c r="D37" s="30">
        <f>D38-D36</f>
        <v>6486</v>
      </c>
      <c r="E37" s="30">
        <f>E38-E36</f>
        <v>5931</v>
      </c>
      <c r="F37" s="30">
        <f>F38-F36</f>
        <v>4181</v>
      </c>
      <c r="G37" s="30">
        <f>1874+292+810</f>
        <v>2976</v>
      </c>
      <c r="H37" s="30">
        <f>H38-H36</f>
        <v>3043</v>
      </c>
      <c r="I37" s="30">
        <f>881+523+794</f>
        <v>2198</v>
      </c>
      <c r="J37" s="30">
        <f>J38-J36</f>
        <v>1615</v>
      </c>
      <c r="K37" s="30">
        <f>K38-K36</f>
        <v>1813</v>
      </c>
      <c r="L37" s="30">
        <f>L38-L36</f>
        <v>1784</v>
      </c>
      <c r="M37" s="30">
        <f>178+108+203+1515</f>
        <v>2004</v>
      </c>
      <c r="N37" s="30">
        <f>N38-N36</f>
        <v>3615</v>
      </c>
      <c r="O37" s="30">
        <f>25+37+472+860</f>
        <v>1394</v>
      </c>
      <c r="P37" s="30">
        <f>208+1603+919+18+478+45+82</f>
        <v>3353</v>
      </c>
      <c r="Q37" s="30">
        <f>263+1252+36+540-64+73+24+124</f>
        <v>2248</v>
      </c>
      <c r="R37" s="64">
        <f>18525</f>
        <v>18525</v>
      </c>
      <c r="S37" s="5">
        <f>2203+41+104</f>
        <v>2348</v>
      </c>
    </row>
    <row r="38" spans="1:19" ht="12.75">
      <c r="A38" s="46" t="s">
        <v>18</v>
      </c>
      <c r="B38" s="29">
        <v>11766</v>
      </c>
      <c r="C38" s="29">
        <v>10212</v>
      </c>
      <c r="D38" s="29">
        <f>1353+1255+7879</f>
        <v>10487</v>
      </c>
      <c r="E38" s="29">
        <f>6000+2599+1336</f>
        <v>9935</v>
      </c>
      <c r="F38" s="29">
        <f>4173+2478+1546</f>
        <v>8197</v>
      </c>
      <c r="G38" s="29">
        <f>SUM(G36:G37)</f>
        <v>7259</v>
      </c>
      <c r="H38" s="29">
        <v>7490</v>
      </c>
      <c r="I38" s="29">
        <f>SUM(I36:I37)</f>
        <v>6829</v>
      </c>
      <c r="J38" s="29">
        <v>6732</v>
      </c>
      <c r="K38" s="29">
        <v>7297</v>
      </c>
      <c r="L38" s="29">
        <v>7544</v>
      </c>
      <c r="M38" s="29">
        <v>7739</v>
      </c>
      <c r="N38" s="29">
        <v>11562</v>
      </c>
      <c r="O38" s="29">
        <v>9969</v>
      </c>
      <c r="P38" s="29">
        <f>SUM(P36:P37)</f>
        <v>12869</v>
      </c>
      <c r="Q38" s="29">
        <f>SUM(Q36:Q37)</f>
        <v>12939</v>
      </c>
      <c r="R38" s="29">
        <f>SUM(R36:R37)</f>
        <v>32569</v>
      </c>
      <c r="S38" s="28">
        <f>SUM(S36:S37)</f>
        <v>17353</v>
      </c>
    </row>
    <row r="39" spans="1:19" ht="12.75">
      <c r="A39" s="51" t="s">
        <v>14</v>
      </c>
      <c r="B39" s="35">
        <f>B38-B66</f>
        <v>-1107</v>
      </c>
      <c r="C39" s="35">
        <f aca="true" t="shared" si="10" ref="C39:S39">C38-C66</f>
        <v>2924</v>
      </c>
      <c r="D39" s="35">
        <f t="shared" si="10"/>
        <v>3562</v>
      </c>
      <c r="E39" s="35">
        <f t="shared" si="10"/>
        <v>2885</v>
      </c>
      <c r="F39" s="35">
        <f t="shared" si="10"/>
        <v>970</v>
      </c>
      <c r="G39" s="35">
        <f t="shared" si="10"/>
        <v>282</v>
      </c>
      <c r="H39" s="35">
        <f t="shared" si="10"/>
        <v>-405</v>
      </c>
      <c r="I39" s="35">
        <f t="shared" si="10"/>
        <v>-1404</v>
      </c>
      <c r="J39" s="35">
        <f t="shared" si="10"/>
        <v>-2880</v>
      </c>
      <c r="K39" s="35">
        <f t="shared" si="10"/>
        <v>-2127</v>
      </c>
      <c r="L39" s="35">
        <f t="shared" si="10"/>
        <v>-1894</v>
      </c>
      <c r="M39" s="35">
        <f t="shared" si="10"/>
        <v>925</v>
      </c>
      <c r="N39" s="35">
        <f t="shared" si="10"/>
        <v>2664</v>
      </c>
      <c r="O39" s="35">
        <f t="shared" si="10"/>
        <v>-1601</v>
      </c>
      <c r="P39" s="35">
        <f t="shared" si="10"/>
        <v>2159</v>
      </c>
      <c r="Q39" s="35">
        <f t="shared" si="10"/>
        <v>-3086</v>
      </c>
      <c r="R39" s="35">
        <f t="shared" si="10"/>
        <v>17309</v>
      </c>
      <c r="S39" s="34">
        <f t="shared" si="10"/>
        <v>-27</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c r="E42" s="30"/>
      <c r="F42" s="30"/>
      <c r="G42" s="30"/>
      <c r="H42" s="30"/>
      <c r="I42" s="30">
        <v>133</v>
      </c>
      <c r="J42" s="30"/>
      <c r="K42" s="30"/>
      <c r="L42" s="30"/>
      <c r="M42" s="30"/>
      <c r="N42" s="30"/>
      <c r="O42" s="30"/>
      <c r="P42" s="30">
        <v>1382</v>
      </c>
      <c r="Q42" s="30">
        <v>2763</v>
      </c>
      <c r="R42" s="30">
        <f>782+2828</f>
        <v>3610</v>
      </c>
      <c r="S42" s="5">
        <f>925+2886</f>
        <v>3811</v>
      </c>
    </row>
    <row r="43" spans="1:19" ht="25.5">
      <c r="A43" s="47" t="s">
        <v>16</v>
      </c>
      <c r="B43" s="30">
        <f>363+231+836+444+1140</f>
        <v>3014</v>
      </c>
      <c r="C43" s="30">
        <v>2268</v>
      </c>
      <c r="D43" s="30">
        <f>404+840+551</f>
        <v>1795</v>
      </c>
      <c r="E43" s="30">
        <f>671+970+545</f>
        <v>2186</v>
      </c>
      <c r="F43" s="30">
        <f>905+399+1016</f>
        <v>2320</v>
      </c>
      <c r="G43" s="30">
        <f>1214+1321+369</f>
        <v>2904</v>
      </c>
      <c r="H43" s="30">
        <f>381+3089</f>
        <v>3470</v>
      </c>
      <c r="I43" s="30">
        <f>436+3+2778</f>
        <v>3217</v>
      </c>
      <c r="J43" s="30">
        <f>2482+492</f>
        <v>2974</v>
      </c>
      <c r="K43" s="30">
        <f>2539+20</f>
        <v>2559</v>
      </c>
      <c r="L43" s="30">
        <f>529+2929</f>
        <v>3458</v>
      </c>
      <c r="M43" s="30">
        <f>111+209+2848</f>
        <v>3168</v>
      </c>
      <c r="N43" s="30">
        <f>126+231+4199</f>
        <v>4556</v>
      </c>
      <c r="O43" s="30">
        <f>125+150+4278</f>
        <v>4553</v>
      </c>
      <c r="P43" s="30">
        <f>354+172+1210+4076+561+805</f>
        <v>7178</v>
      </c>
      <c r="Q43" s="30">
        <f>267+219+1461+3231+680</f>
        <v>5858</v>
      </c>
      <c r="R43" s="64">
        <f>2201+8877+4388</f>
        <v>15466</v>
      </c>
      <c r="S43" s="5">
        <f>308+300+785+4998</f>
        <v>6391</v>
      </c>
    </row>
    <row r="44" spans="1:19" ht="12.75">
      <c r="A44" s="46" t="s">
        <v>18</v>
      </c>
      <c r="B44" s="29">
        <f aca="true" t="shared" si="11" ref="B44:S44">SUM(B42:B43)</f>
        <v>3014</v>
      </c>
      <c r="C44" s="29">
        <f t="shared" si="11"/>
        <v>2268</v>
      </c>
      <c r="D44" s="29">
        <f t="shared" si="11"/>
        <v>1795</v>
      </c>
      <c r="E44" s="29">
        <f t="shared" si="11"/>
        <v>2186</v>
      </c>
      <c r="F44" s="29">
        <f t="shared" si="11"/>
        <v>2320</v>
      </c>
      <c r="G44" s="29">
        <f t="shared" si="11"/>
        <v>2904</v>
      </c>
      <c r="H44" s="29">
        <f t="shared" si="11"/>
        <v>3470</v>
      </c>
      <c r="I44" s="29">
        <f t="shared" si="11"/>
        <v>3350</v>
      </c>
      <c r="J44" s="29">
        <f t="shared" si="11"/>
        <v>2974</v>
      </c>
      <c r="K44" s="29">
        <f t="shared" si="11"/>
        <v>2559</v>
      </c>
      <c r="L44" s="29">
        <f t="shared" si="11"/>
        <v>3458</v>
      </c>
      <c r="M44" s="29">
        <f t="shared" si="11"/>
        <v>3168</v>
      </c>
      <c r="N44" s="29">
        <f t="shared" si="11"/>
        <v>4556</v>
      </c>
      <c r="O44" s="29">
        <f t="shared" si="11"/>
        <v>4553</v>
      </c>
      <c r="P44" s="29">
        <f t="shared" si="11"/>
        <v>8560</v>
      </c>
      <c r="Q44" s="29">
        <f t="shared" si="11"/>
        <v>8621</v>
      </c>
      <c r="R44" s="29">
        <f t="shared" si="11"/>
        <v>19076</v>
      </c>
      <c r="S44" s="28">
        <f t="shared" si="11"/>
        <v>10202</v>
      </c>
    </row>
    <row r="45" spans="1:19" ht="12.75">
      <c r="A45" s="51" t="s">
        <v>14</v>
      </c>
      <c r="B45" s="35">
        <f>B44-B67</f>
        <v>-3540</v>
      </c>
      <c r="C45" s="35">
        <f aca="true" t="shared" si="12" ref="C45:S45">C44-C67</f>
        <v>-2642</v>
      </c>
      <c r="D45" s="35">
        <f t="shared" si="12"/>
        <v>-4197</v>
      </c>
      <c r="E45" s="35">
        <f t="shared" si="12"/>
        <v>-4564</v>
      </c>
      <c r="F45" s="35">
        <f t="shared" si="12"/>
        <v>-4685</v>
      </c>
      <c r="G45" s="35">
        <f t="shared" si="12"/>
        <v>-5702</v>
      </c>
      <c r="H45" s="35">
        <f t="shared" si="12"/>
        <v>-6409</v>
      </c>
      <c r="I45" s="35">
        <f t="shared" si="12"/>
        <v>-6922</v>
      </c>
      <c r="J45" s="35">
        <f t="shared" si="12"/>
        <v>-7956</v>
      </c>
      <c r="K45" s="35">
        <f t="shared" si="12"/>
        <v>-7471</v>
      </c>
      <c r="L45" s="35">
        <f t="shared" si="12"/>
        <v>-7091</v>
      </c>
      <c r="M45" s="35">
        <f t="shared" si="12"/>
        <v>-7165</v>
      </c>
      <c r="N45" s="35">
        <f t="shared" si="12"/>
        <v>-7725</v>
      </c>
      <c r="O45" s="35">
        <f t="shared" si="12"/>
        <v>-9026</v>
      </c>
      <c r="P45" s="35">
        <f t="shared" si="12"/>
        <v>-5667</v>
      </c>
      <c r="Q45" s="35">
        <f t="shared" si="12"/>
        <v>-5554</v>
      </c>
      <c r="R45" s="35">
        <f t="shared" si="12"/>
        <v>3510</v>
      </c>
      <c r="S45" s="34">
        <f t="shared" si="12"/>
        <v>-8935</v>
      </c>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c r="D48" s="2"/>
      <c r="E48" s="2"/>
      <c r="F48" s="2"/>
      <c r="G48" s="2"/>
      <c r="H48" s="2"/>
      <c r="I48" s="2">
        <v>666</v>
      </c>
      <c r="J48" s="2">
        <v>783</v>
      </c>
      <c r="K48" s="2">
        <v>792</v>
      </c>
      <c r="L48" s="2">
        <v>874</v>
      </c>
      <c r="M48" s="2">
        <v>879</v>
      </c>
      <c r="N48" s="2">
        <v>830</v>
      </c>
      <c r="O48" s="2">
        <v>842</v>
      </c>
      <c r="P48" s="86">
        <v>1605</v>
      </c>
      <c r="Q48" s="86">
        <v>1598</v>
      </c>
      <c r="R48" s="86">
        <v>1644</v>
      </c>
      <c r="S48" s="87">
        <v>5054</v>
      </c>
    </row>
    <row r="49" spans="1:20" ht="25.5">
      <c r="A49" s="47" t="s">
        <v>16</v>
      </c>
      <c r="B49" s="2">
        <f>25+696</f>
        <v>721</v>
      </c>
      <c r="C49" s="2">
        <v>827</v>
      </c>
      <c r="D49" s="2">
        <v>1112</v>
      </c>
      <c r="E49" s="2">
        <v>2035</v>
      </c>
      <c r="F49" s="2">
        <f>19+4054</f>
        <v>4073</v>
      </c>
      <c r="G49" s="2">
        <v>3883</v>
      </c>
      <c r="H49" s="2">
        <v>5969</v>
      </c>
      <c r="I49" s="2">
        <f>5068+355+2</f>
        <v>5425</v>
      </c>
      <c r="J49" s="2">
        <f>6508+416</f>
        <v>6924</v>
      </c>
      <c r="K49" s="2">
        <f>5354+2+90</f>
        <v>5446</v>
      </c>
      <c r="L49" s="2">
        <f>5551+357+3</f>
        <v>5911</v>
      </c>
      <c r="M49" s="2">
        <f>M50-M48</f>
        <v>7923</v>
      </c>
      <c r="N49" s="2">
        <f>19+7365</f>
        <v>7384</v>
      </c>
      <c r="O49" s="2">
        <f>6313+378+3+33</f>
        <v>6727</v>
      </c>
      <c r="P49" s="2">
        <f>269+8926+3+462</f>
        <v>9660</v>
      </c>
      <c r="Q49" s="2">
        <f>7976+333+3+114</f>
        <v>8426</v>
      </c>
      <c r="R49" s="89">
        <f>8968</f>
        <v>8968</v>
      </c>
      <c r="S49" s="5">
        <f>5126+10+197</f>
        <v>5333</v>
      </c>
      <c r="T49" s="1" t="s">
        <v>59</v>
      </c>
    </row>
    <row r="50" spans="1:19" ht="12.75">
      <c r="A50" s="46" t="s">
        <v>18</v>
      </c>
      <c r="B50" s="29">
        <f aca="true" t="shared" si="13" ref="B50:S50">SUM(B48:B49)</f>
        <v>721</v>
      </c>
      <c r="C50" s="29">
        <f t="shared" si="13"/>
        <v>827</v>
      </c>
      <c r="D50" s="29">
        <f t="shared" si="13"/>
        <v>1112</v>
      </c>
      <c r="E50" s="29">
        <f t="shared" si="13"/>
        <v>2035</v>
      </c>
      <c r="F50" s="29">
        <f t="shared" si="13"/>
        <v>4073</v>
      </c>
      <c r="G50" s="29">
        <f t="shared" si="13"/>
        <v>3883</v>
      </c>
      <c r="H50" s="29">
        <f t="shared" si="13"/>
        <v>5969</v>
      </c>
      <c r="I50" s="29">
        <f t="shared" si="13"/>
        <v>6091</v>
      </c>
      <c r="J50" s="29">
        <f t="shared" si="13"/>
        <v>7707</v>
      </c>
      <c r="K50" s="29">
        <f t="shared" si="13"/>
        <v>6238</v>
      </c>
      <c r="L50" s="29">
        <f t="shared" si="13"/>
        <v>6785</v>
      </c>
      <c r="M50" s="29">
        <v>8802</v>
      </c>
      <c r="N50" s="29">
        <v>8214</v>
      </c>
      <c r="O50" s="29">
        <f t="shared" si="13"/>
        <v>7569</v>
      </c>
      <c r="P50" s="29">
        <f t="shared" si="13"/>
        <v>11265</v>
      </c>
      <c r="Q50" s="29">
        <f t="shared" si="13"/>
        <v>10024</v>
      </c>
      <c r="R50" s="29">
        <f t="shared" si="13"/>
        <v>10612</v>
      </c>
      <c r="S50" s="28">
        <f t="shared" si="13"/>
        <v>10387</v>
      </c>
    </row>
    <row r="51" spans="1:19" ht="12.75">
      <c r="A51" s="51" t="s">
        <v>14</v>
      </c>
      <c r="B51" s="35">
        <f>B50-B68+2473</f>
        <v>-2392</v>
      </c>
      <c r="C51" s="35">
        <f>C50-C68+2543</f>
        <v>-2926</v>
      </c>
      <c r="D51" s="35">
        <f>D50-D68+2216</f>
        <v>-2456</v>
      </c>
      <c r="E51" s="35">
        <f>E50-E68+1729</f>
        <v>-2511</v>
      </c>
      <c r="F51" s="35">
        <f>F50-F68+1327</f>
        <v>-2231</v>
      </c>
      <c r="G51" s="35">
        <f aca="true" t="shared" si="14" ref="G51:L51">G50-G68</f>
        <v>-1520</v>
      </c>
      <c r="H51" s="35">
        <f t="shared" si="14"/>
        <v>-1779</v>
      </c>
      <c r="I51" s="35">
        <f t="shared" si="14"/>
        <v>-2245</v>
      </c>
      <c r="J51" s="35">
        <f t="shared" si="14"/>
        <v>-2662</v>
      </c>
      <c r="K51" s="35">
        <f t="shared" si="14"/>
        <v>-2938</v>
      </c>
      <c r="L51" s="35">
        <f t="shared" si="14"/>
        <v>-2433</v>
      </c>
      <c r="M51" s="35">
        <f>M50-M68+5322</f>
        <v>-2094</v>
      </c>
      <c r="N51" s="35">
        <f>N50-N68+4755</f>
        <v>-2834</v>
      </c>
      <c r="O51" s="35">
        <f>O50-O68+4591</f>
        <v>-2341</v>
      </c>
      <c r="P51" s="35">
        <f>P50-P68+4882</f>
        <v>-1312</v>
      </c>
      <c r="Q51" s="35">
        <f>Q50-Q68+6072</f>
        <v>-1850</v>
      </c>
      <c r="R51" s="35">
        <f>R50-R68+4000</f>
        <v>1644</v>
      </c>
      <c r="S51" s="34">
        <f>S50-S68+5535</f>
        <v>28</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5">
        <f>SUM(B18,B24,B30,B36,B42,B48)</f>
        <v>3670</v>
      </c>
      <c r="C54" s="66">
        <f aca="true" t="shared" si="15" ref="C54:S54">SUM(C18,C24,C30,C36,C42,C48)</f>
        <v>3908</v>
      </c>
      <c r="D54" s="66">
        <f t="shared" si="15"/>
        <v>4001</v>
      </c>
      <c r="E54" s="66">
        <f t="shared" si="15"/>
        <v>4004</v>
      </c>
      <c r="F54" s="66">
        <f t="shared" si="15"/>
        <v>4016</v>
      </c>
      <c r="G54" s="66">
        <f t="shared" si="15"/>
        <v>4283</v>
      </c>
      <c r="H54" s="66">
        <f t="shared" si="15"/>
        <v>4447</v>
      </c>
      <c r="I54" s="66">
        <f t="shared" si="15"/>
        <v>5430</v>
      </c>
      <c r="J54" s="66">
        <f t="shared" si="15"/>
        <v>5900</v>
      </c>
      <c r="K54" s="66">
        <f t="shared" si="15"/>
        <v>6276</v>
      </c>
      <c r="L54" s="66">
        <f t="shared" si="15"/>
        <v>6634</v>
      </c>
      <c r="M54" s="66">
        <f t="shared" si="15"/>
        <v>6614</v>
      </c>
      <c r="N54" s="66">
        <f t="shared" si="15"/>
        <v>8777</v>
      </c>
      <c r="O54" s="66">
        <f t="shared" si="15"/>
        <v>9417</v>
      </c>
      <c r="P54" s="66">
        <f t="shared" si="15"/>
        <v>12503</v>
      </c>
      <c r="Q54" s="66">
        <f t="shared" si="15"/>
        <v>15052</v>
      </c>
      <c r="R54" s="66">
        <f t="shared" si="15"/>
        <v>19298</v>
      </c>
      <c r="S54" s="67">
        <f t="shared" si="15"/>
        <v>23870</v>
      </c>
    </row>
    <row r="55" spans="1:19" ht="12.75">
      <c r="A55" s="53" t="s">
        <v>11</v>
      </c>
      <c r="B55" s="68">
        <f>SUM(B19,B25,B31,B37,B43,B49)</f>
        <v>11831</v>
      </c>
      <c r="C55" s="22">
        <f aca="true" t="shared" si="16" ref="C55:S55">SUM(C19,C25,C31,C37,C43,C49)</f>
        <v>9399</v>
      </c>
      <c r="D55" s="22">
        <f t="shared" si="16"/>
        <v>9393</v>
      </c>
      <c r="E55" s="22">
        <f t="shared" si="16"/>
        <v>10152</v>
      </c>
      <c r="F55" s="22">
        <f t="shared" si="16"/>
        <v>10574</v>
      </c>
      <c r="G55" s="22">
        <f t="shared" si="16"/>
        <v>9763</v>
      </c>
      <c r="H55" s="22">
        <f t="shared" si="16"/>
        <v>12482</v>
      </c>
      <c r="I55" s="22">
        <f t="shared" si="16"/>
        <v>10840</v>
      </c>
      <c r="J55" s="22">
        <f t="shared" si="16"/>
        <v>11513</v>
      </c>
      <c r="K55" s="22">
        <f t="shared" si="16"/>
        <v>9818</v>
      </c>
      <c r="L55" s="22">
        <f t="shared" si="16"/>
        <v>11153</v>
      </c>
      <c r="M55" s="22">
        <f t="shared" si="16"/>
        <v>13180</v>
      </c>
      <c r="N55" s="22">
        <f t="shared" si="16"/>
        <v>15625</v>
      </c>
      <c r="O55" s="22">
        <f t="shared" si="16"/>
        <v>12707</v>
      </c>
      <c r="P55" s="22">
        <f t="shared" si="16"/>
        <v>20393</v>
      </c>
      <c r="Q55" s="22">
        <f t="shared" si="16"/>
        <v>16853</v>
      </c>
      <c r="R55" s="22">
        <f t="shared" si="16"/>
        <v>43894</v>
      </c>
      <c r="S55" s="21">
        <f t="shared" si="16"/>
        <v>14365</v>
      </c>
    </row>
    <row r="56" spans="1:19" ht="25.5">
      <c r="A56" s="54" t="s">
        <v>10</v>
      </c>
      <c r="B56" s="69">
        <f>SUM(B20,B26,B32,B38,B44,B50)</f>
        <v>15501</v>
      </c>
      <c r="C56" s="20">
        <f aca="true" t="shared" si="17" ref="C56:S56">SUM(C20,C26,C32,C38,C44,C50)</f>
        <v>13307</v>
      </c>
      <c r="D56" s="20">
        <f t="shared" si="17"/>
        <v>13394</v>
      </c>
      <c r="E56" s="20">
        <f t="shared" si="17"/>
        <v>14156</v>
      </c>
      <c r="F56" s="20">
        <f t="shared" si="17"/>
        <v>14590</v>
      </c>
      <c r="G56" s="20">
        <f t="shared" si="17"/>
        <v>14046</v>
      </c>
      <c r="H56" s="20">
        <f t="shared" si="17"/>
        <v>16929</v>
      </c>
      <c r="I56" s="20">
        <f t="shared" si="17"/>
        <v>16270</v>
      </c>
      <c r="J56" s="20">
        <f t="shared" si="17"/>
        <v>17413</v>
      </c>
      <c r="K56" s="20">
        <f t="shared" si="17"/>
        <v>16094</v>
      </c>
      <c r="L56" s="20">
        <f t="shared" si="17"/>
        <v>17787</v>
      </c>
      <c r="M56" s="20">
        <f t="shared" si="17"/>
        <v>19794</v>
      </c>
      <c r="N56" s="20">
        <f t="shared" si="17"/>
        <v>24402</v>
      </c>
      <c r="O56" s="20">
        <f t="shared" si="17"/>
        <v>22124</v>
      </c>
      <c r="P56" s="20">
        <f t="shared" si="17"/>
        <v>32896</v>
      </c>
      <c r="Q56" s="20">
        <f t="shared" si="17"/>
        <v>31905</v>
      </c>
      <c r="R56" s="20">
        <f t="shared" si="17"/>
        <v>63192</v>
      </c>
      <c r="S56" s="19">
        <f t="shared" si="17"/>
        <v>38235</v>
      </c>
    </row>
    <row r="57" spans="1:19" ht="12.75">
      <c r="A57" s="55" t="s">
        <v>9</v>
      </c>
      <c r="B57" s="70">
        <f>SUM(B21,B27,B33,B39,B45,B51)</f>
        <v>-7039</v>
      </c>
      <c r="C57" s="71">
        <f aca="true" t="shared" si="18" ref="C57:S57">SUM(C21,C27,C33,C39,C45,C51)</f>
        <v>-2644</v>
      </c>
      <c r="D57" s="71">
        <f t="shared" si="18"/>
        <v>-3091</v>
      </c>
      <c r="E57" s="71">
        <f t="shared" si="18"/>
        <v>-4190</v>
      </c>
      <c r="F57" s="71">
        <f t="shared" si="18"/>
        <v>-5946</v>
      </c>
      <c r="G57" s="71">
        <f t="shared" si="18"/>
        <v>-6940</v>
      </c>
      <c r="H57" s="71">
        <f t="shared" si="18"/>
        <v>-8593</v>
      </c>
      <c r="I57" s="71">
        <f t="shared" si="18"/>
        <v>-10571</v>
      </c>
      <c r="J57" s="71">
        <f t="shared" si="18"/>
        <v>-13498</v>
      </c>
      <c r="K57" s="71">
        <f t="shared" si="18"/>
        <v>-12536</v>
      </c>
      <c r="L57" s="71">
        <f t="shared" si="18"/>
        <v>-11418</v>
      </c>
      <c r="M57" s="71">
        <f t="shared" si="18"/>
        <v>-8764</v>
      </c>
      <c r="N57" s="71">
        <f t="shared" si="18"/>
        <v>-8385</v>
      </c>
      <c r="O57" s="71">
        <f t="shared" si="18"/>
        <v>-13544</v>
      </c>
      <c r="P57" s="71">
        <f t="shared" si="18"/>
        <v>-5408</v>
      </c>
      <c r="Q57" s="71">
        <f t="shared" si="18"/>
        <v>-10914</v>
      </c>
      <c r="R57" s="71">
        <f>SUM(R21,R27,R33,R39,R45,R51)</f>
        <v>22463</v>
      </c>
      <c r="S57" s="18">
        <f t="shared" si="18"/>
        <v>-9991</v>
      </c>
    </row>
    <row r="58" spans="1:19" ht="12.75">
      <c r="A58" s="56" t="s">
        <v>8</v>
      </c>
      <c r="B58" s="72">
        <f>B59-B55-B15</f>
        <v>3603</v>
      </c>
      <c r="C58" s="72">
        <f aca="true" t="shared" si="19" ref="C58:S58">C59-C55-C15</f>
        <v>6236</v>
      </c>
      <c r="D58" s="72">
        <f t="shared" si="19"/>
        <v>7310</v>
      </c>
      <c r="E58" s="72">
        <f t="shared" si="19"/>
        <v>16822</v>
      </c>
      <c r="F58" s="72">
        <f t="shared" si="19"/>
        <v>6307</v>
      </c>
      <c r="G58" s="72">
        <f t="shared" si="19"/>
        <v>8405</v>
      </c>
      <c r="H58" s="72">
        <f t="shared" si="19"/>
        <v>13559</v>
      </c>
      <c r="I58" s="72">
        <f t="shared" si="19"/>
        <v>11064</v>
      </c>
      <c r="J58" s="72">
        <f t="shared" si="19"/>
        <v>8637</v>
      </c>
      <c r="K58" s="72">
        <f t="shared" si="19"/>
        <v>8495</v>
      </c>
      <c r="L58" s="72">
        <f t="shared" si="19"/>
        <v>3099</v>
      </c>
      <c r="M58" s="72">
        <f t="shared" si="19"/>
        <v>6333</v>
      </c>
      <c r="N58" s="72">
        <f t="shared" si="19"/>
        <v>6279</v>
      </c>
      <c r="O58" s="72">
        <f t="shared" si="19"/>
        <v>10393</v>
      </c>
      <c r="P58" s="72">
        <f t="shared" si="19"/>
        <v>9319</v>
      </c>
      <c r="Q58" s="72">
        <f t="shared" si="19"/>
        <v>7527</v>
      </c>
      <c r="R58" s="72">
        <f t="shared" si="19"/>
        <v>-9281</v>
      </c>
      <c r="S58" s="72">
        <f t="shared" si="19"/>
        <v>18535</v>
      </c>
    </row>
    <row r="59" spans="1:19" ht="12.75">
      <c r="A59" s="57" t="s">
        <v>7</v>
      </c>
      <c r="B59" s="7">
        <v>31892</v>
      </c>
      <c r="C59" s="7">
        <v>32222</v>
      </c>
      <c r="D59" s="7">
        <v>32507</v>
      </c>
      <c r="E59" s="7">
        <v>42863</v>
      </c>
      <c r="F59" s="7">
        <v>33238</v>
      </c>
      <c r="G59" s="7">
        <v>34884</v>
      </c>
      <c r="H59" s="7">
        <v>43540</v>
      </c>
      <c r="I59" s="7">
        <v>40471</v>
      </c>
      <c r="J59" s="7">
        <v>38996</v>
      </c>
      <c r="K59" s="7">
        <v>38212</v>
      </c>
      <c r="L59" s="7">
        <v>35385</v>
      </c>
      <c r="M59" s="7">
        <v>42320</v>
      </c>
      <c r="N59" s="7">
        <v>50548</v>
      </c>
      <c r="O59" s="7">
        <v>54917</v>
      </c>
      <c r="P59" s="7">
        <v>68437</v>
      </c>
      <c r="Q59" s="7">
        <v>69252</v>
      </c>
      <c r="R59" s="7">
        <v>88079</v>
      </c>
      <c r="S59" s="6">
        <v>92361</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129</f>
        <v>129</v>
      </c>
      <c r="C62" s="2">
        <f>186</f>
        <v>186</v>
      </c>
      <c r="D62" s="2">
        <v>222</v>
      </c>
      <c r="E62" s="2">
        <v>234</v>
      </c>
      <c r="F62" s="2">
        <v>268</v>
      </c>
      <c r="G62" s="2">
        <v>1019</v>
      </c>
      <c r="H62" s="2">
        <v>1089</v>
      </c>
      <c r="I62" s="2">
        <v>943</v>
      </c>
      <c r="J62" s="2">
        <v>1379</v>
      </c>
      <c r="K62" s="2">
        <v>799</v>
      </c>
      <c r="L62" s="2">
        <f>729+355</f>
        <v>1084</v>
      </c>
      <c r="M62" s="2">
        <v>1597</v>
      </c>
      <c r="N62" s="2">
        <f>1187+2087</f>
        <v>3274</v>
      </c>
      <c r="O62" s="2">
        <f>1892+1661</f>
        <v>3553</v>
      </c>
      <c r="P62" s="2">
        <f>2662+850+1228</f>
        <v>4740</v>
      </c>
      <c r="Q62" s="2">
        <f>3229+1314+1297</f>
        <v>5840</v>
      </c>
      <c r="R62" s="89">
        <f>1573+1104</f>
        <v>2677</v>
      </c>
      <c r="S62" s="469">
        <f>1730+1615</f>
        <v>3345</v>
      </c>
    </row>
    <row r="63" spans="1:19" ht="12.75">
      <c r="A63" s="58" t="s">
        <v>37</v>
      </c>
      <c r="B63" s="15">
        <v>458</v>
      </c>
      <c r="C63" s="15">
        <v>2773</v>
      </c>
      <c r="D63" s="15">
        <f>2315</f>
        <v>2315</v>
      </c>
      <c r="E63" s="15">
        <v>2020</v>
      </c>
      <c r="F63" s="15">
        <v>2539</v>
      </c>
      <c r="G63" s="15">
        <v>2663</v>
      </c>
      <c r="H63" s="15">
        <v>3026</v>
      </c>
      <c r="I63" s="15">
        <v>2936</v>
      </c>
      <c r="J63" s="15">
        <v>2979</v>
      </c>
      <c r="K63" s="15">
        <v>3216</v>
      </c>
      <c r="L63" s="15">
        <v>3481</v>
      </c>
      <c r="M63" s="15">
        <v>5322</v>
      </c>
      <c r="N63" s="15">
        <v>4879</v>
      </c>
      <c r="O63" s="15">
        <v>6068</v>
      </c>
      <c r="P63" s="15">
        <v>7463</v>
      </c>
      <c r="Q63" s="15">
        <f>9948</f>
        <v>9948</v>
      </c>
      <c r="R63" s="15">
        <v>15736</v>
      </c>
      <c r="S63" s="14">
        <f>17814</f>
        <v>17814</v>
      </c>
    </row>
    <row r="64" spans="1:19" ht="25.5" outlineLevel="1">
      <c r="A64" s="59" t="s">
        <v>52</v>
      </c>
      <c r="B64" s="13"/>
      <c r="C64" s="13"/>
      <c r="D64" s="13"/>
      <c r="E64" s="13"/>
      <c r="F64" s="13"/>
      <c r="G64" s="13"/>
      <c r="H64" s="13"/>
      <c r="I64" s="13"/>
      <c r="J64" s="13"/>
      <c r="K64" s="13"/>
      <c r="L64" s="13"/>
      <c r="M64" s="13">
        <v>515</v>
      </c>
      <c r="N64" s="13">
        <v>560</v>
      </c>
      <c r="O64" s="13">
        <v>609</v>
      </c>
      <c r="P64" s="13">
        <v>790</v>
      </c>
      <c r="Q64" s="13">
        <v>745</v>
      </c>
      <c r="R64" s="13">
        <v>935</v>
      </c>
      <c r="S64" s="12">
        <v>1350</v>
      </c>
    </row>
    <row r="65" spans="1:19" ht="12.75" customHeight="1" outlineLevel="1">
      <c r="A65" s="60" t="s">
        <v>5</v>
      </c>
      <c r="B65" s="11"/>
      <c r="C65" s="11"/>
      <c r="D65" s="11"/>
      <c r="E65" s="11"/>
      <c r="F65" s="11"/>
      <c r="G65" s="11"/>
      <c r="H65" s="11"/>
      <c r="I65" s="11"/>
      <c r="J65" s="11"/>
      <c r="K65" s="11"/>
      <c r="L65" s="11"/>
      <c r="M65" s="11"/>
      <c r="N65" s="11"/>
      <c r="O65" s="11"/>
      <c r="P65" s="11"/>
      <c r="Q65" s="11"/>
      <c r="R65" s="11"/>
      <c r="S65" s="10"/>
    </row>
    <row r="66" spans="1:19" ht="12.75">
      <c r="A66" s="59" t="s">
        <v>42</v>
      </c>
      <c r="B66" s="13">
        <f>12873</f>
        <v>12873</v>
      </c>
      <c r="C66" s="13">
        <v>7288</v>
      </c>
      <c r="D66" s="13">
        <f>3298+1465+2162</f>
        <v>6925</v>
      </c>
      <c r="E66" s="82">
        <f>2331+3288+1431</f>
        <v>7050</v>
      </c>
      <c r="F66" s="13">
        <f>2268+3417+1542</f>
        <v>7227</v>
      </c>
      <c r="G66" s="13">
        <v>6977</v>
      </c>
      <c r="H66" s="13">
        <v>7895</v>
      </c>
      <c r="I66" s="13">
        <v>8233</v>
      </c>
      <c r="J66" s="13">
        <v>9612</v>
      </c>
      <c r="K66" s="13">
        <v>9424</v>
      </c>
      <c r="L66" s="13">
        <f>9438</f>
        <v>9438</v>
      </c>
      <c r="M66" s="13">
        <f>6814</f>
        <v>6814</v>
      </c>
      <c r="N66" s="13">
        <f>8898</f>
        <v>8898</v>
      </c>
      <c r="O66" s="13">
        <f>11570</f>
        <v>11570</v>
      </c>
      <c r="P66" s="13">
        <f>10710</f>
        <v>10710</v>
      </c>
      <c r="Q66" s="13">
        <f>16025</f>
        <v>16025</v>
      </c>
      <c r="R66" s="13">
        <f>15260</f>
        <v>15260</v>
      </c>
      <c r="S66" s="12">
        <v>17380</v>
      </c>
    </row>
    <row r="67" spans="1:20" ht="13.5" customHeight="1">
      <c r="A67" s="79" t="s">
        <v>50</v>
      </c>
      <c r="B67" s="82">
        <f>871+1094+1615+1765+1209</f>
        <v>6554</v>
      </c>
      <c r="C67" s="82">
        <v>4910</v>
      </c>
      <c r="D67" s="82">
        <f>1431+1709+2852</f>
        <v>5992</v>
      </c>
      <c r="E67" s="82">
        <f>1931+2049+2770</f>
        <v>6750</v>
      </c>
      <c r="F67" s="82">
        <f>2855+2084+2066</f>
        <v>7005</v>
      </c>
      <c r="G67" s="82">
        <f>3796+2540+2270</f>
        <v>8606</v>
      </c>
      <c r="H67" s="82">
        <f>4220+5659</f>
        <v>9879</v>
      </c>
      <c r="I67" s="82">
        <f>4569+5703</f>
        <v>10272</v>
      </c>
      <c r="J67" s="82">
        <f>4660+6270</f>
        <v>10930</v>
      </c>
      <c r="K67" s="82">
        <f>4304+5726</f>
        <v>10030</v>
      </c>
      <c r="L67" s="82">
        <f>4400+6149</f>
        <v>10549</v>
      </c>
      <c r="M67" s="82">
        <f>562+1532+8239</f>
        <v>10333</v>
      </c>
      <c r="N67" s="82">
        <f>527+1752+10002</f>
        <v>12281</v>
      </c>
      <c r="O67" s="82">
        <f>548+1836+11195</f>
        <v>13579</v>
      </c>
      <c r="P67" s="82">
        <f>2050+12177</f>
        <v>14227</v>
      </c>
      <c r="Q67" s="82">
        <f>2004+12171</f>
        <v>14175</v>
      </c>
      <c r="R67" s="82">
        <f>2301+4388+8877</f>
        <v>15566</v>
      </c>
      <c r="S67" s="83">
        <f>6543+9890+2704</f>
        <v>19137</v>
      </c>
      <c r="T67" s="1" t="s">
        <v>53</v>
      </c>
    </row>
    <row r="68" spans="1:19" ht="12.75">
      <c r="A68" s="79" t="s">
        <v>41</v>
      </c>
      <c r="B68" s="13">
        <f>2473+2036+1077</f>
        <v>5586</v>
      </c>
      <c r="C68" s="13">
        <f>3753+2543</f>
        <v>6296</v>
      </c>
      <c r="D68" s="13">
        <f>2216+2653+915</f>
        <v>5784</v>
      </c>
      <c r="E68" s="13">
        <f>1049+3497+1729</f>
        <v>6275</v>
      </c>
      <c r="F68" s="13">
        <f>1327+5355+949</f>
        <v>7631</v>
      </c>
      <c r="G68" s="13">
        <v>5403</v>
      </c>
      <c r="H68" s="13">
        <v>7748</v>
      </c>
      <c r="I68" s="13">
        <v>8336</v>
      </c>
      <c r="J68" s="13">
        <v>10369</v>
      </c>
      <c r="K68" s="13">
        <v>9176</v>
      </c>
      <c r="L68" s="13">
        <v>9218</v>
      </c>
      <c r="M68" s="13">
        <f>5322+10896</f>
        <v>16218</v>
      </c>
      <c r="N68" s="13">
        <f>4755+11048</f>
        <v>15803</v>
      </c>
      <c r="O68" s="13">
        <f>9910+4591</f>
        <v>14501</v>
      </c>
      <c r="P68" s="13">
        <f>12577+4882</f>
        <v>17459</v>
      </c>
      <c r="Q68" s="13">
        <f>11874+6072</f>
        <v>17946</v>
      </c>
      <c r="R68" s="13">
        <f>8968+4000</f>
        <v>12968</v>
      </c>
      <c r="S68" s="12">
        <f>5535+10359</f>
        <v>15894</v>
      </c>
    </row>
    <row r="69" spans="1:19" ht="51">
      <c r="A69" s="61" t="s">
        <v>4</v>
      </c>
      <c r="B69" s="9">
        <f>B71</f>
        <v>1668</v>
      </c>
      <c r="C69" s="9">
        <f>C71</f>
        <v>3008</v>
      </c>
      <c r="D69" s="9">
        <f aca="true" t="shared" si="20" ref="D69:M69">D71</f>
        <v>4183</v>
      </c>
      <c r="E69" s="9">
        <f t="shared" si="20"/>
        <v>3737</v>
      </c>
      <c r="F69" s="9">
        <f t="shared" si="20"/>
        <v>3015</v>
      </c>
      <c r="G69" s="9">
        <f t="shared" si="20"/>
        <v>5128</v>
      </c>
      <c r="H69" s="9">
        <f t="shared" si="20"/>
        <v>4009</v>
      </c>
      <c r="I69" s="9">
        <f t="shared" si="20"/>
        <v>5501</v>
      </c>
      <c r="J69" s="9">
        <f t="shared" si="20"/>
        <v>7797</v>
      </c>
      <c r="K69" s="9">
        <f t="shared" si="20"/>
        <v>6359</v>
      </c>
      <c r="L69" s="9">
        <f t="shared" si="20"/>
        <v>5326</v>
      </c>
      <c r="M69" s="9">
        <f t="shared" si="20"/>
        <v>9675</v>
      </c>
      <c r="N69" s="9">
        <f aca="true" t="shared" si="21" ref="N69:S69">N71</f>
        <v>3586</v>
      </c>
      <c r="O69" s="9">
        <f t="shared" si="21"/>
        <v>3761</v>
      </c>
      <c r="P69" s="9">
        <f t="shared" si="21"/>
        <v>9879</v>
      </c>
      <c r="Q69" s="9">
        <f t="shared" si="21"/>
        <v>2570</v>
      </c>
      <c r="R69" s="9">
        <f t="shared" si="21"/>
        <v>19793</v>
      </c>
      <c r="S69" s="8">
        <f t="shared" si="21"/>
        <v>15155</v>
      </c>
    </row>
    <row r="70" spans="1:19" ht="25.5">
      <c r="A70" s="61" t="s">
        <v>3</v>
      </c>
      <c r="B70" s="9">
        <v>0</v>
      </c>
      <c r="C70" s="9">
        <v>0</v>
      </c>
      <c r="D70" s="9">
        <v>0</v>
      </c>
      <c r="E70" s="9">
        <v>0</v>
      </c>
      <c r="F70" s="9">
        <v>0</v>
      </c>
      <c r="G70" s="9">
        <v>0</v>
      </c>
      <c r="H70" s="9">
        <v>0</v>
      </c>
      <c r="I70" s="9">
        <v>0</v>
      </c>
      <c r="J70" s="9">
        <v>0</v>
      </c>
      <c r="K70" s="9">
        <v>0</v>
      </c>
      <c r="L70" s="9">
        <v>0</v>
      </c>
      <c r="M70" s="9">
        <v>0</v>
      </c>
      <c r="N70" s="9">
        <v>0</v>
      </c>
      <c r="O70" s="9">
        <v>0</v>
      </c>
      <c r="P70" s="9">
        <v>0</v>
      </c>
      <c r="Q70" s="9">
        <v>0</v>
      </c>
      <c r="R70" s="9">
        <v>0</v>
      </c>
      <c r="S70" s="8">
        <v>0</v>
      </c>
    </row>
    <row r="71" spans="1:19" ht="63.75">
      <c r="A71" s="47" t="s">
        <v>2</v>
      </c>
      <c r="B71" s="73">
        <f>B72-SUM(B62:B68)</f>
        <v>1668</v>
      </c>
      <c r="C71" s="74">
        <f aca="true" t="shared" si="22" ref="C71:S71">C72-SUM(C62:C68)</f>
        <v>3008</v>
      </c>
      <c r="D71" s="74">
        <f t="shared" si="22"/>
        <v>4183</v>
      </c>
      <c r="E71" s="74">
        <f t="shared" si="22"/>
        <v>3737</v>
      </c>
      <c r="F71" s="74">
        <f t="shared" si="22"/>
        <v>3015</v>
      </c>
      <c r="G71" s="74">
        <f t="shared" si="22"/>
        <v>5128</v>
      </c>
      <c r="H71" s="74">
        <f t="shared" si="22"/>
        <v>4009</v>
      </c>
      <c r="I71" s="74">
        <f t="shared" si="22"/>
        <v>5501</v>
      </c>
      <c r="J71" s="74">
        <f t="shared" si="22"/>
        <v>7797</v>
      </c>
      <c r="K71" s="74">
        <f t="shared" si="22"/>
        <v>6359</v>
      </c>
      <c r="L71" s="74">
        <f t="shared" si="22"/>
        <v>5326</v>
      </c>
      <c r="M71" s="74">
        <f t="shared" si="22"/>
        <v>9675</v>
      </c>
      <c r="N71" s="74">
        <f>N72-SUM(N62:N68)</f>
        <v>3586</v>
      </c>
      <c r="O71" s="74">
        <f t="shared" si="22"/>
        <v>3761</v>
      </c>
      <c r="P71" s="74">
        <f t="shared" si="22"/>
        <v>9879</v>
      </c>
      <c r="Q71" s="74">
        <f t="shared" si="22"/>
        <v>2570</v>
      </c>
      <c r="R71" s="74">
        <f t="shared" si="22"/>
        <v>19793</v>
      </c>
      <c r="S71" s="75">
        <f t="shared" si="22"/>
        <v>15155</v>
      </c>
    </row>
    <row r="72" spans="1:19" ht="12.75">
      <c r="A72" s="57" t="s">
        <v>1</v>
      </c>
      <c r="B72" s="7">
        <v>27268</v>
      </c>
      <c r="C72" s="7">
        <v>24461</v>
      </c>
      <c r="D72" s="7">
        <v>25421</v>
      </c>
      <c r="E72" s="7">
        <v>26066</v>
      </c>
      <c r="F72" s="7">
        <v>27685</v>
      </c>
      <c r="G72" s="7">
        <v>29796</v>
      </c>
      <c r="H72" s="7">
        <v>33646</v>
      </c>
      <c r="I72" s="7">
        <v>36221</v>
      </c>
      <c r="J72" s="7">
        <v>43066</v>
      </c>
      <c r="K72" s="7">
        <v>39004</v>
      </c>
      <c r="L72" s="7">
        <v>39096</v>
      </c>
      <c r="M72" s="7">
        <v>50474</v>
      </c>
      <c r="N72" s="7">
        <v>49281</v>
      </c>
      <c r="O72" s="7">
        <v>53641</v>
      </c>
      <c r="P72" s="7">
        <v>65268</v>
      </c>
      <c r="Q72" s="7">
        <v>67249</v>
      </c>
      <c r="R72" s="7">
        <v>82935</v>
      </c>
      <c r="S72" s="6">
        <v>90075</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204001</v>
      </c>
      <c r="C74" s="4">
        <v>210267</v>
      </c>
      <c r="D74" s="4">
        <v>217604</v>
      </c>
      <c r="E74" s="4">
        <v>234812</v>
      </c>
      <c r="F74" s="4">
        <v>240364</v>
      </c>
      <c r="G74" s="4">
        <v>242414</v>
      </c>
      <c r="H74" s="4">
        <v>261646</v>
      </c>
      <c r="I74" s="4">
        <v>265896</v>
      </c>
      <c r="J74" s="4">
        <v>246166</v>
      </c>
      <c r="K74" s="4">
        <v>245385</v>
      </c>
      <c r="L74" s="4">
        <v>241674</v>
      </c>
      <c r="M74" s="4">
        <v>230466</v>
      </c>
      <c r="N74" s="4">
        <v>231733</v>
      </c>
      <c r="O74" s="4">
        <v>233079</v>
      </c>
      <c r="P74" s="4">
        <v>236361</v>
      </c>
      <c r="Q74" s="4">
        <v>255691</v>
      </c>
      <c r="R74" s="4">
        <v>269559</v>
      </c>
      <c r="S74" s="3">
        <v>463870</v>
      </c>
    </row>
    <row r="75" ht="12.75"/>
    <row r="76" ht="12.75"/>
    <row r="77" ht="12.75">
      <c r="B77" s="1" t="s">
        <v>55</v>
      </c>
    </row>
    <row r="78" ht="12.75">
      <c r="B78" s="1" t="s">
        <v>56</v>
      </c>
    </row>
    <row r="79" ht="12.75">
      <c r="B79" s="1" t="s">
        <v>57</v>
      </c>
    </row>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pane xSplit="1" ySplit="2" topLeftCell="B4" activePane="bottomRight" state="frozen"/>
      <selection pane="topLeft" activeCell="H29" sqref="H29"/>
      <selection pane="topRight" activeCell="H29" sqref="H29"/>
      <selection pane="bottomLeft" activeCell="H29" sqref="H29"/>
      <selection pane="bottomRight" activeCell="O84" sqref="O84"/>
    </sheetView>
  </sheetViews>
  <sheetFormatPr defaultColWidth="9.140625" defaultRowHeight="15" outlineLevelRow="1"/>
  <cols>
    <col min="1" max="1" width="32.421875" style="2" customWidth="1"/>
    <col min="2" max="16" width="9.140625" style="1" customWidth="1"/>
    <col min="17" max="17" width="10.28125" style="1" bestFit="1" customWidth="1"/>
    <col min="18" max="18" width="9.140625" style="1" customWidth="1"/>
    <col min="19" max="19" width="11.140625" style="1" bestFit="1" customWidth="1"/>
    <col min="20" max="16384" width="9.140625" style="1" customWidth="1"/>
  </cols>
  <sheetData>
    <row r="1" spans="1:19" ht="12.75">
      <c r="A1" s="21"/>
      <c r="B1" s="482" t="s">
        <v>72</v>
      </c>
      <c r="C1" s="483"/>
      <c r="D1" s="483"/>
      <c r="E1" s="483"/>
      <c r="F1" s="483"/>
      <c r="G1" s="483"/>
      <c r="H1" s="483"/>
      <c r="I1" s="483"/>
      <c r="J1" s="483"/>
      <c r="K1" s="483"/>
      <c r="L1" s="483"/>
      <c r="M1" s="483"/>
      <c r="N1" s="483"/>
      <c r="O1" s="483"/>
      <c r="P1" s="483"/>
      <c r="Q1" s="483"/>
      <c r="R1" s="483"/>
      <c r="S1" s="484"/>
    </row>
    <row r="2" spans="1:19" ht="12.75">
      <c r="A2" s="43"/>
      <c r="B2" s="88">
        <v>1991</v>
      </c>
      <c r="C2" s="88">
        <v>1992</v>
      </c>
      <c r="D2" s="88">
        <v>1993</v>
      </c>
      <c r="E2" s="88">
        <v>1994</v>
      </c>
      <c r="F2" s="88">
        <v>1995</v>
      </c>
      <c r="G2" s="88">
        <v>1996</v>
      </c>
      <c r="H2" s="44">
        <v>1997</v>
      </c>
      <c r="I2" s="44">
        <v>1998</v>
      </c>
      <c r="J2" s="88">
        <v>1999</v>
      </c>
      <c r="K2" s="44">
        <v>2000</v>
      </c>
      <c r="L2" s="44">
        <v>2001</v>
      </c>
      <c r="M2" s="88">
        <v>2002</v>
      </c>
      <c r="N2" s="44">
        <v>2003</v>
      </c>
      <c r="O2" s="44">
        <v>2004</v>
      </c>
      <c r="P2" s="44">
        <v>2005</v>
      </c>
      <c r="Q2" s="44">
        <v>2006</v>
      </c>
      <c r="R2" s="44">
        <v>2007</v>
      </c>
      <c r="S2" s="116">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v>41303</v>
      </c>
      <c r="C5" s="2">
        <v>38550</v>
      </c>
      <c r="D5" s="2">
        <v>18548</v>
      </c>
      <c r="E5" s="2">
        <v>17172</v>
      </c>
      <c r="F5" s="2">
        <v>18154</v>
      </c>
      <c r="G5" s="2">
        <v>18054</v>
      </c>
      <c r="H5" s="2">
        <v>18557</v>
      </c>
      <c r="I5" s="2">
        <v>17587</v>
      </c>
      <c r="J5" s="2">
        <v>17701</v>
      </c>
      <c r="K5" s="2">
        <v>17825</v>
      </c>
      <c r="L5" s="2">
        <v>20353</v>
      </c>
      <c r="M5" s="2">
        <v>19693</v>
      </c>
      <c r="N5" s="2">
        <v>21005</v>
      </c>
      <c r="O5" s="2">
        <v>21106</v>
      </c>
      <c r="P5" s="2">
        <v>21877</v>
      </c>
      <c r="Q5" s="2">
        <v>21621</v>
      </c>
      <c r="R5" s="2">
        <v>22525</v>
      </c>
      <c r="S5" s="5">
        <v>22015</v>
      </c>
    </row>
    <row r="6" spans="1:19" ht="12.75">
      <c r="A6" s="47" t="s">
        <v>28</v>
      </c>
      <c r="B6" s="2"/>
      <c r="C6" s="2"/>
      <c r="D6" s="2"/>
      <c r="E6" s="2"/>
      <c r="F6" s="2"/>
      <c r="G6" s="2"/>
      <c r="H6" s="2"/>
      <c r="I6" s="2"/>
      <c r="J6" s="2"/>
      <c r="K6" s="2"/>
      <c r="L6" s="2"/>
      <c r="M6" s="2"/>
      <c r="N6" s="2"/>
      <c r="O6" s="2"/>
      <c r="P6" s="2"/>
      <c r="Q6" s="2"/>
      <c r="R6" s="2"/>
      <c r="S6" s="5"/>
    </row>
    <row r="7" spans="1:19" ht="12.75">
      <c r="A7" s="47" t="s">
        <v>27</v>
      </c>
      <c r="B7" s="2">
        <f>B18</f>
        <v>22184</v>
      </c>
      <c r="C7" s="2">
        <f aca="true" t="shared" si="0" ref="C7:S7">C18</f>
        <v>22036</v>
      </c>
      <c r="D7" s="2">
        <f t="shared" si="0"/>
        <v>22493</v>
      </c>
      <c r="E7" s="2">
        <f t="shared" si="0"/>
        <v>22974</v>
      </c>
      <c r="F7" s="2">
        <f t="shared" si="0"/>
        <v>23686</v>
      </c>
      <c r="G7" s="2">
        <f t="shared" si="0"/>
        <v>24433</v>
      </c>
      <c r="H7" s="2">
        <f t="shared" si="0"/>
        <v>25213</v>
      </c>
      <c r="I7" s="2">
        <f t="shared" si="0"/>
        <v>25218</v>
      </c>
      <c r="J7" s="2">
        <f t="shared" si="0"/>
        <v>25218</v>
      </c>
      <c r="K7" s="2">
        <f t="shared" si="0"/>
        <v>24210</v>
      </c>
      <c r="L7" s="2">
        <f t="shared" si="0"/>
        <v>20353</v>
      </c>
      <c r="M7" s="2">
        <f t="shared" si="0"/>
        <v>24319</v>
      </c>
      <c r="N7" s="2">
        <f t="shared" si="0"/>
        <v>23324</v>
      </c>
      <c r="O7" s="2">
        <f t="shared" si="0"/>
        <v>22776</v>
      </c>
      <c r="P7" s="2">
        <f t="shared" si="0"/>
        <v>22777</v>
      </c>
      <c r="Q7" s="2">
        <f t="shared" si="0"/>
        <v>22776</v>
      </c>
      <c r="R7" s="2">
        <f t="shared" si="0"/>
        <v>22776</v>
      </c>
      <c r="S7" s="5">
        <f t="shared" si="0"/>
        <v>23460</v>
      </c>
    </row>
    <row r="8" spans="1:19" ht="12.75">
      <c r="A8" s="47" t="s">
        <v>26</v>
      </c>
      <c r="B8" s="2">
        <f>B24</f>
        <v>0</v>
      </c>
      <c r="C8" s="2">
        <f aca="true" t="shared" si="1" ref="C8:S8">C24</f>
        <v>0</v>
      </c>
      <c r="D8" s="2">
        <f t="shared" si="1"/>
        <v>0</v>
      </c>
      <c r="E8" s="2">
        <f t="shared" si="1"/>
        <v>0</v>
      </c>
      <c r="F8" s="2">
        <f t="shared" si="1"/>
        <v>0</v>
      </c>
      <c r="G8" s="2">
        <f t="shared" si="1"/>
        <v>0</v>
      </c>
      <c r="H8" s="2">
        <f t="shared" si="1"/>
        <v>0</v>
      </c>
      <c r="I8" s="2">
        <f t="shared" si="1"/>
        <v>0</v>
      </c>
      <c r="J8" s="2">
        <f t="shared" si="1"/>
        <v>0</v>
      </c>
      <c r="K8" s="2">
        <f t="shared" si="1"/>
        <v>0</v>
      </c>
      <c r="L8" s="2">
        <f t="shared" si="1"/>
        <v>0</v>
      </c>
      <c r="M8" s="2">
        <f t="shared" si="1"/>
        <v>0</v>
      </c>
      <c r="N8" s="2">
        <f t="shared" si="1"/>
        <v>0</v>
      </c>
      <c r="O8" s="2">
        <f t="shared" si="1"/>
        <v>0</v>
      </c>
      <c r="P8" s="2">
        <f t="shared" si="1"/>
        <v>0</v>
      </c>
      <c r="Q8" s="2">
        <f t="shared" si="1"/>
        <v>0</v>
      </c>
      <c r="R8" s="2">
        <f t="shared" si="1"/>
        <v>0</v>
      </c>
      <c r="S8" s="5">
        <f t="shared" si="1"/>
        <v>0</v>
      </c>
    </row>
    <row r="9" spans="1:19" ht="12.75">
      <c r="A9" s="59" t="s">
        <v>35</v>
      </c>
      <c r="B9" s="78">
        <f>B36</f>
        <v>0</v>
      </c>
      <c r="C9" s="78">
        <f aca="true" t="shared" si="2" ref="C9:S9">C36</f>
        <v>0</v>
      </c>
      <c r="D9" s="78">
        <f t="shared" si="2"/>
        <v>833</v>
      </c>
      <c r="E9" s="78">
        <f t="shared" si="2"/>
        <v>867</v>
      </c>
      <c r="F9" s="13">
        <f t="shared" si="2"/>
        <v>1025</v>
      </c>
      <c r="G9" s="13">
        <f t="shared" si="2"/>
        <v>1134</v>
      </c>
      <c r="H9" s="13">
        <f t="shared" si="2"/>
        <v>2023</v>
      </c>
      <c r="I9" s="13">
        <f t="shared" si="2"/>
        <v>2082</v>
      </c>
      <c r="J9" s="13">
        <f t="shared" si="2"/>
        <v>2520</v>
      </c>
      <c r="K9" s="13">
        <f t="shared" si="2"/>
        <v>3065</v>
      </c>
      <c r="L9" s="13">
        <f t="shared" si="2"/>
        <v>3099</v>
      </c>
      <c r="M9" s="13">
        <f t="shared" si="2"/>
        <v>3289</v>
      </c>
      <c r="N9" s="13">
        <f t="shared" si="2"/>
        <v>3471</v>
      </c>
      <c r="O9" s="13">
        <f t="shared" si="2"/>
        <v>3819</v>
      </c>
      <c r="P9" s="13">
        <f t="shared" si="2"/>
        <v>2941</v>
      </c>
      <c r="Q9" s="13">
        <f t="shared" si="2"/>
        <v>4166</v>
      </c>
      <c r="R9" s="13">
        <f t="shared" si="2"/>
        <v>4371</v>
      </c>
      <c r="S9" s="12">
        <f t="shared" si="2"/>
        <v>4550</v>
      </c>
    </row>
    <row r="10" spans="1:19" ht="12.75">
      <c r="A10" s="59" t="s">
        <v>43</v>
      </c>
      <c r="B10" s="78">
        <f>B48</f>
        <v>0</v>
      </c>
      <c r="C10" s="78">
        <f aca="true" t="shared" si="3" ref="C10:S10">C48</f>
        <v>0</v>
      </c>
      <c r="D10" s="78">
        <f t="shared" si="3"/>
        <v>361</v>
      </c>
      <c r="E10" s="78">
        <f t="shared" si="3"/>
        <v>363</v>
      </c>
      <c r="F10" s="13">
        <f t="shared" si="3"/>
        <v>626</v>
      </c>
      <c r="G10" s="13">
        <f t="shared" si="3"/>
        <v>638</v>
      </c>
      <c r="H10" s="13">
        <f t="shared" si="3"/>
        <v>557</v>
      </c>
      <c r="I10" s="13">
        <f t="shared" si="3"/>
        <v>597</v>
      </c>
      <c r="J10" s="13">
        <f t="shared" si="3"/>
        <v>591</v>
      </c>
      <c r="K10" s="13">
        <f t="shared" si="3"/>
        <v>590</v>
      </c>
      <c r="L10" s="13">
        <f t="shared" si="3"/>
        <v>608</v>
      </c>
      <c r="M10" s="13">
        <f t="shared" si="3"/>
        <v>252</v>
      </c>
      <c r="N10" s="13">
        <f t="shared" si="3"/>
        <v>177</v>
      </c>
      <c r="O10" s="13">
        <f t="shared" si="3"/>
        <v>174</v>
      </c>
      <c r="P10" s="13">
        <f t="shared" si="3"/>
        <v>186</v>
      </c>
      <c r="Q10" s="13">
        <f t="shared" si="3"/>
        <v>189</v>
      </c>
      <c r="R10" s="13">
        <f t="shared" si="3"/>
        <v>194</v>
      </c>
      <c r="S10" s="12">
        <f t="shared" si="3"/>
        <v>198</v>
      </c>
    </row>
    <row r="11" spans="1:19" ht="12.75">
      <c r="A11" s="59" t="s">
        <v>44</v>
      </c>
      <c r="B11" s="78">
        <f>B42</f>
        <v>0</v>
      </c>
      <c r="C11" s="78">
        <f aca="true" t="shared" si="4" ref="C11:S11">C42</f>
        <v>0</v>
      </c>
      <c r="D11" s="78">
        <f t="shared" si="4"/>
        <v>753</v>
      </c>
      <c r="E11" s="78">
        <f t="shared" si="4"/>
        <v>821</v>
      </c>
      <c r="F11" s="13">
        <f t="shared" si="4"/>
        <v>859</v>
      </c>
      <c r="G11" s="13">
        <f t="shared" si="4"/>
        <v>873</v>
      </c>
      <c r="H11" s="13">
        <f t="shared" si="4"/>
        <v>0</v>
      </c>
      <c r="I11" s="13">
        <f t="shared" si="4"/>
        <v>0</v>
      </c>
      <c r="J11" s="13">
        <f t="shared" si="4"/>
        <v>0</v>
      </c>
      <c r="K11" s="13">
        <f t="shared" si="4"/>
        <v>0</v>
      </c>
      <c r="L11" s="13">
        <f t="shared" si="4"/>
        <v>0</v>
      </c>
      <c r="M11" s="13">
        <f t="shared" si="4"/>
        <v>0</v>
      </c>
      <c r="N11" s="13">
        <f t="shared" si="4"/>
        <v>0</v>
      </c>
      <c r="O11" s="13">
        <f t="shared" si="4"/>
        <v>0</v>
      </c>
      <c r="P11" s="13">
        <f t="shared" si="4"/>
        <v>0</v>
      </c>
      <c r="Q11" s="13">
        <f t="shared" si="4"/>
        <v>0</v>
      </c>
      <c r="R11" s="13">
        <f t="shared" si="4"/>
        <v>0</v>
      </c>
      <c r="S11" s="12">
        <f t="shared" si="4"/>
        <v>0</v>
      </c>
    </row>
    <row r="12" spans="1:19" ht="12.75">
      <c r="A12" s="47" t="s">
        <v>25</v>
      </c>
      <c r="B12" s="2">
        <f>B30</f>
        <v>0</v>
      </c>
      <c r="C12" s="2">
        <f aca="true" t="shared" si="5" ref="C12:S12">C30</f>
        <v>0</v>
      </c>
      <c r="D12" s="2">
        <f t="shared" si="5"/>
        <v>0</v>
      </c>
      <c r="E12" s="2">
        <f t="shared" si="5"/>
        <v>0</v>
      </c>
      <c r="F12" s="2">
        <f t="shared" si="5"/>
        <v>0</v>
      </c>
      <c r="G12" s="2">
        <f t="shared" si="5"/>
        <v>0</v>
      </c>
      <c r="H12" s="2">
        <f t="shared" si="5"/>
        <v>0</v>
      </c>
      <c r="I12" s="2">
        <f t="shared" si="5"/>
        <v>0</v>
      </c>
      <c r="J12" s="2">
        <f t="shared" si="5"/>
        <v>0</v>
      </c>
      <c r="K12" s="2">
        <f t="shared" si="5"/>
        <v>0</v>
      </c>
      <c r="L12" s="2">
        <f t="shared" si="5"/>
        <v>0</v>
      </c>
      <c r="M12" s="2">
        <f t="shared" si="5"/>
        <v>0</v>
      </c>
      <c r="N12" s="2">
        <f t="shared" si="5"/>
        <v>0</v>
      </c>
      <c r="O12" s="2">
        <f t="shared" si="5"/>
        <v>0</v>
      </c>
      <c r="P12" s="2">
        <f t="shared" si="5"/>
        <v>0</v>
      </c>
      <c r="Q12" s="2">
        <f t="shared" si="5"/>
        <v>0</v>
      </c>
      <c r="R12" s="2">
        <f t="shared" si="5"/>
        <v>0</v>
      </c>
      <c r="S12" s="5">
        <f t="shared" si="5"/>
        <v>0</v>
      </c>
    </row>
    <row r="13" spans="1:19" ht="12.75">
      <c r="A13" s="46" t="s">
        <v>24</v>
      </c>
      <c r="B13" s="42">
        <v>22184</v>
      </c>
      <c r="C13" s="42">
        <v>22036</v>
      </c>
      <c r="D13" s="42">
        <f>18359+833+22493+367+753</f>
        <v>42805</v>
      </c>
      <c r="E13" s="42">
        <f>19211+867+22974+363+821</f>
        <v>44236</v>
      </c>
      <c r="F13" s="42">
        <f>18781+1025+23686+626+859</f>
        <v>44977</v>
      </c>
      <c r="G13" s="42">
        <f>18630+1134+24433+638+873</f>
        <v>45708</v>
      </c>
      <c r="H13" s="42">
        <f>19109+1328+25213+512+896</f>
        <v>47058</v>
      </c>
      <c r="I13" s="42">
        <f>19523+1382+25218+551+885</f>
        <v>47559</v>
      </c>
      <c r="J13" s="42">
        <f>19253+1753+25218+545+2726+958</f>
        <v>50453</v>
      </c>
      <c r="K13" s="42">
        <f>19479+2265+24213+544+2506+974</f>
        <v>49981</v>
      </c>
      <c r="L13" s="42">
        <f>22333+2286+23241+566+2676+1005</f>
        <v>52107</v>
      </c>
      <c r="M13" s="42">
        <f>24319+2403+22776+208+2676+1088</f>
        <v>53470</v>
      </c>
      <c r="N13" s="42">
        <f>25324+2592+22776+133+2676</f>
        <v>53501</v>
      </c>
      <c r="O13" s="42">
        <f>26366+2782+22776+131+2676+1080</f>
        <v>55811</v>
      </c>
      <c r="P13" s="42">
        <f>27088+2941+22776+142+2676+1083</f>
        <v>56706</v>
      </c>
      <c r="Q13" s="42">
        <f>29255+3069+22776+144+2676+1142</f>
        <v>59062</v>
      </c>
      <c r="R13" s="42">
        <f>40060+22776</f>
        <v>62836</v>
      </c>
      <c r="S13" s="28">
        <f>48186+23460</f>
        <v>71646</v>
      </c>
    </row>
    <row r="14" spans="1:19" ht="12.75">
      <c r="A14" s="47" t="s">
        <v>23</v>
      </c>
      <c r="B14" s="2"/>
      <c r="C14" s="2"/>
      <c r="D14" s="2"/>
      <c r="E14" s="2"/>
      <c r="F14" s="2"/>
      <c r="G14" s="2"/>
      <c r="H14" s="2"/>
      <c r="I14" s="2"/>
      <c r="J14" s="2"/>
      <c r="K14" s="2"/>
      <c r="L14" s="2"/>
      <c r="M14" s="2"/>
      <c r="N14" s="2"/>
      <c r="O14" s="2">
        <f>371-19</f>
        <v>352</v>
      </c>
      <c r="P14" s="2">
        <f>403-147</f>
        <v>256</v>
      </c>
      <c r="Q14" s="2">
        <f>405-30</f>
        <v>375</v>
      </c>
      <c r="R14" s="2">
        <f>461-32</f>
        <v>429</v>
      </c>
      <c r="S14" s="5">
        <f>451-36</f>
        <v>415</v>
      </c>
    </row>
    <row r="15" spans="1:19" ht="12.75">
      <c r="A15" s="48" t="s">
        <v>22</v>
      </c>
      <c r="B15" s="17">
        <f>SUM(B13:B14,B5)</f>
        <v>63487</v>
      </c>
      <c r="C15" s="17">
        <f aca="true" t="shared" si="6" ref="C15:K15">SUM(C13:C14,C5)</f>
        <v>60586</v>
      </c>
      <c r="D15" s="17">
        <f t="shared" si="6"/>
        <v>61353</v>
      </c>
      <c r="E15" s="17">
        <f t="shared" si="6"/>
        <v>61408</v>
      </c>
      <c r="F15" s="17">
        <f t="shared" si="6"/>
        <v>63131</v>
      </c>
      <c r="G15" s="17">
        <f t="shared" si="6"/>
        <v>63762</v>
      </c>
      <c r="H15" s="17">
        <f t="shared" si="6"/>
        <v>65615</v>
      </c>
      <c r="I15" s="17">
        <f t="shared" si="6"/>
        <v>65146</v>
      </c>
      <c r="J15" s="17">
        <f t="shared" si="6"/>
        <v>68154</v>
      </c>
      <c r="K15" s="17">
        <f t="shared" si="6"/>
        <v>67806</v>
      </c>
      <c r="L15" s="114">
        <f aca="true" t="shared" si="7" ref="L15:S15">SUM(L13:L14,L5)</f>
        <v>72460</v>
      </c>
      <c r="M15" s="114">
        <f t="shared" si="7"/>
        <v>73163</v>
      </c>
      <c r="N15" s="114">
        <f t="shared" si="7"/>
        <v>74506</v>
      </c>
      <c r="O15" s="114">
        <f t="shared" si="7"/>
        <v>77269</v>
      </c>
      <c r="P15" s="114">
        <f t="shared" si="7"/>
        <v>78839</v>
      </c>
      <c r="Q15" s="114">
        <f t="shared" si="7"/>
        <v>81058</v>
      </c>
      <c r="R15" s="114">
        <f t="shared" si="7"/>
        <v>85790</v>
      </c>
      <c r="S15" s="115">
        <f t="shared" si="7"/>
        <v>94076</v>
      </c>
    </row>
    <row r="16" spans="1:19" ht="12.75">
      <c r="A16" s="5"/>
      <c r="B16" s="42"/>
      <c r="C16" s="42"/>
      <c r="D16" s="42"/>
      <c r="E16" s="42"/>
      <c r="F16" s="42"/>
      <c r="G16" s="42"/>
      <c r="H16" s="42"/>
      <c r="I16" s="42"/>
      <c r="J16" s="42"/>
      <c r="K16" s="42"/>
      <c r="L16" s="42"/>
      <c r="M16" s="42"/>
      <c r="N16" s="42"/>
      <c r="O16" s="42"/>
      <c r="P16" s="42"/>
      <c r="Q16" s="42"/>
      <c r="R16" s="42"/>
      <c r="S16" s="28"/>
    </row>
    <row r="17" spans="1:19" ht="12.75">
      <c r="A17" s="41" t="s">
        <v>21</v>
      </c>
      <c r="B17" s="40"/>
      <c r="C17" s="40"/>
      <c r="D17" s="40"/>
      <c r="E17" s="40"/>
      <c r="F17" s="40"/>
      <c r="G17" s="40"/>
      <c r="H17" s="40"/>
      <c r="I17" s="40"/>
      <c r="J17" s="40"/>
      <c r="K17" s="40"/>
      <c r="L17" s="40"/>
      <c r="M17" s="40"/>
      <c r="N17" s="40"/>
      <c r="O17" s="40"/>
      <c r="P17" s="40"/>
      <c r="Q17" s="40"/>
      <c r="R17" s="40"/>
      <c r="S17" s="39"/>
    </row>
    <row r="18" spans="1:19" ht="12.75">
      <c r="A18" s="47" t="s">
        <v>12</v>
      </c>
      <c r="B18" s="30">
        <v>22184</v>
      </c>
      <c r="C18" s="30">
        <v>22036</v>
      </c>
      <c r="D18" s="30">
        <v>22493</v>
      </c>
      <c r="E18" s="30">
        <v>22974</v>
      </c>
      <c r="F18" s="30">
        <v>23686</v>
      </c>
      <c r="G18" s="30">
        <v>24433</v>
      </c>
      <c r="H18" s="30">
        <v>25213</v>
      </c>
      <c r="I18" s="30">
        <v>25218</v>
      </c>
      <c r="J18" s="30">
        <v>25218</v>
      </c>
      <c r="K18" s="30">
        <f>24210</f>
        <v>24210</v>
      </c>
      <c r="L18" s="30">
        <v>20353</v>
      </c>
      <c r="M18" s="30">
        <v>24319</v>
      </c>
      <c r="N18" s="30">
        <f>23324</f>
        <v>23324</v>
      </c>
      <c r="O18" s="30">
        <v>22776</v>
      </c>
      <c r="P18" s="30">
        <v>22777</v>
      </c>
      <c r="Q18" s="30">
        <v>22776</v>
      </c>
      <c r="R18" s="30">
        <v>22776</v>
      </c>
      <c r="S18" s="5">
        <v>23460</v>
      </c>
    </row>
    <row r="19" spans="1:19" ht="25.5">
      <c r="A19" s="47" t="s">
        <v>16</v>
      </c>
      <c r="B19" s="30">
        <f>950+13</f>
        <v>963</v>
      </c>
      <c r="C19" s="30">
        <f>580+3936</f>
        <v>4516</v>
      </c>
      <c r="D19" s="30">
        <f>4218+40+23+5+3</f>
        <v>4289</v>
      </c>
      <c r="E19" s="30">
        <f>4095+66+24+3+10+29</f>
        <v>4227</v>
      </c>
      <c r="F19" s="30">
        <f>4100+133+17+5+10+102</f>
        <v>4367</v>
      </c>
      <c r="G19" s="30">
        <f>1278+253</f>
        <v>1531</v>
      </c>
      <c r="H19" s="30">
        <v>1546</v>
      </c>
      <c r="I19" s="30">
        <v>6879</v>
      </c>
      <c r="J19" s="30">
        <v>6040</v>
      </c>
      <c r="K19" s="30">
        <v>5378</v>
      </c>
      <c r="L19" s="30">
        <v>5676</v>
      </c>
      <c r="M19" s="30">
        <f>3565</f>
        <v>3565</v>
      </c>
      <c r="N19" s="30">
        <v>1229</v>
      </c>
      <c r="O19" s="30">
        <f>372+696</f>
        <v>1068</v>
      </c>
      <c r="P19" s="30">
        <f>508+3685</f>
        <v>4193</v>
      </c>
      <c r="Q19" s="30">
        <f>618+738</f>
        <v>1356</v>
      </c>
      <c r="R19" s="30">
        <f>618+733</f>
        <v>1351</v>
      </c>
      <c r="S19" s="5">
        <f>1020+425</f>
        <v>1445</v>
      </c>
    </row>
    <row r="20" spans="1:19" ht="25.5">
      <c r="A20" s="46" t="s">
        <v>20</v>
      </c>
      <c r="B20" s="29">
        <f aca="true" t="shared" si="8" ref="B20:S20">SUM(B18:B19)</f>
        <v>23147</v>
      </c>
      <c r="C20" s="29">
        <f t="shared" si="8"/>
        <v>26552</v>
      </c>
      <c r="D20" s="29">
        <f t="shared" si="8"/>
        <v>26782</v>
      </c>
      <c r="E20" s="29">
        <f t="shared" si="8"/>
        <v>27201</v>
      </c>
      <c r="F20" s="29">
        <f t="shared" si="8"/>
        <v>28053</v>
      </c>
      <c r="G20" s="29">
        <f t="shared" si="8"/>
        <v>25964</v>
      </c>
      <c r="H20" s="29">
        <f t="shared" si="8"/>
        <v>26759</v>
      </c>
      <c r="I20" s="29">
        <f t="shared" si="8"/>
        <v>32097</v>
      </c>
      <c r="J20" s="29">
        <f t="shared" si="8"/>
        <v>31258</v>
      </c>
      <c r="K20" s="29">
        <f t="shared" si="8"/>
        <v>29588</v>
      </c>
      <c r="L20" s="29">
        <f t="shared" si="8"/>
        <v>26029</v>
      </c>
      <c r="M20" s="29">
        <f t="shared" si="8"/>
        <v>27884</v>
      </c>
      <c r="N20" s="29">
        <f t="shared" si="8"/>
        <v>24553</v>
      </c>
      <c r="O20" s="29">
        <f t="shared" si="8"/>
        <v>23844</v>
      </c>
      <c r="P20" s="29">
        <f t="shared" si="8"/>
        <v>26970</v>
      </c>
      <c r="Q20" s="29">
        <f t="shared" si="8"/>
        <v>24132</v>
      </c>
      <c r="R20" s="29">
        <f t="shared" si="8"/>
        <v>24127</v>
      </c>
      <c r="S20" s="28">
        <f t="shared" si="8"/>
        <v>24905</v>
      </c>
    </row>
    <row r="21" spans="1:19" ht="12.75">
      <c r="A21" s="49" t="s">
        <v>14</v>
      </c>
      <c r="B21" s="27">
        <f>B20-B65</f>
        <v>3744</v>
      </c>
      <c r="C21" s="27">
        <f aca="true" t="shared" si="9" ref="C21:S21">C20-C65</f>
        <v>2290</v>
      </c>
      <c r="D21" s="27">
        <f t="shared" si="9"/>
        <v>1577</v>
      </c>
      <c r="E21" s="27">
        <f t="shared" si="9"/>
        <v>1619</v>
      </c>
      <c r="F21" s="27">
        <f t="shared" si="9"/>
        <v>1015</v>
      </c>
      <c r="G21" s="27">
        <f t="shared" si="9"/>
        <v>-1313</v>
      </c>
      <c r="H21" s="27">
        <f t="shared" si="9"/>
        <v>1825</v>
      </c>
      <c r="I21" s="27">
        <f t="shared" si="9"/>
        <v>3839</v>
      </c>
      <c r="J21" s="27">
        <f t="shared" si="9"/>
        <v>4003</v>
      </c>
      <c r="K21" s="27">
        <f t="shared" si="9"/>
        <v>3496</v>
      </c>
      <c r="L21" s="27">
        <f t="shared" si="9"/>
        <v>585</v>
      </c>
      <c r="M21" s="27">
        <f t="shared" si="9"/>
        <v>4715</v>
      </c>
      <c r="N21" s="27">
        <f t="shared" si="9"/>
        <v>2549</v>
      </c>
      <c r="O21" s="27">
        <f t="shared" si="9"/>
        <v>1033</v>
      </c>
      <c r="P21" s="27">
        <f t="shared" si="9"/>
        <v>0</v>
      </c>
      <c r="Q21" s="27">
        <f t="shared" si="9"/>
        <v>-59</v>
      </c>
      <c r="R21" s="27">
        <f t="shared" si="9"/>
        <v>-363</v>
      </c>
      <c r="S21" s="26">
        <f t="shared" si="9"/>
        <v>1223</v>
      </c>
    </row>
    <row r="22" spans="1:19" ht="12.75" outlineLevel="1">
      <c r="A22" s="5"/>
      <c r="B22" s="42"/>
      <c r="C22" s="42"/>
      <c r="D22" s="42"/>
      <c r="E22" s="42"/>
      <c r="F22" s="42"/>
      <c r="G22" s="42"/>
      <c r="H22" s="42"/>
      <c r="I22" s="42"/>
      <c r="J22" s="42"/>
      <c r="K22" s="42"/>
      <c r="L22" s="42"/>
      <c r="M22" s="42"/>
      <c r="N22" s="42"/>
      <c r="O22" s="42"/>
      <c r="P22" s="42"/>
      <c r="Q22" s="42"/>
      <c r="R22" s="42"/>
      <c r="S22" s="28"/>
    </row>
    <row r="23" spans="1:19" ht="12.75" outlineLevel="1">
      <c r="A23" s="38" t="s">
        <v>19</v>
      </c>
      <c r="B23" s="37"/>
      <c r="C23" s="37"/>
      <c r="D23" s="37"/>
      <c r="E23" s="37"/>
      <c r="F23" s="37"/>
      <c r="G23" s="37"/>
      <c r="H23" s="37"/>
      <c r="I23" s="37"/>
      <c r="J23" s="37"/>
      <c r="K23" s="37"/>
      <c r="L23" s="37"/>
      <c r="M23" s="37"/>
      <c r="N23" s="37"/>
      <c r="O23" s="37"/>
      <c r="P23" s="37"/>
      <c r="Q23" s="37"/>
      <c r="R23" s="37"/>
      <c r="S23" s="36"/>
    </row>
    <row r="24" spans="1:19" ht="12.75" outlineLevel="1">
      <c r="A24" s="47" t="s">
        <v>12</v>
      </c>
      <c r="B24" s="30"/>
      <c r="C24" s="30"/>
      <c r="D24" s="30"/>
      <c r="E24" s="30"/>
      <c r="F24" s="30"/>
      <c r="G24" s="30"/>
      <c r="H24" s="30"/>
      <c r="I24" s="30"/>
      <c r="J24" s="30"/>
      <c r="K24" s="30"/>
      <c r="L24" s="30"/>
      <c r="M24" s="30"/>
      <c r="N24" s="30"/>
      <c r="O24" s="30"/>
      <c r="P24" s="30"/>
      <c r="Q24" s="30"/>
      <c r="R24" s="30"/>
      <c r="S24" s="5"/>
    </row>
    <row r="25" spans="1:19" ht="25.5" outlineLevel="1">
      <c r="A25" s="47" t="s">
        <v>16</v>
      </c>
      <c r="B25" s="30"/>
      <c r="C25" s="30"/>
      <c r="D25" s="30"/>
      <c r="E25" s="30"/>
      <c r="F25" s="30"/>
      <c r="G25" s="30"/>
      <c r="H25" s="30"/>
      <c r="I25" s="30"/>
      <c r="J25" s="30"/>
      <c r="K25" s="30"/>
      <c r="L25" s="30"/>
      <c r="M25" s="30"/>
      <c r="N25" s="30"/>
      <c r="O25" s="30"/>
      <c r="P25" s="30"/>
      <c r="Q25" s="30"/>
      <c r="R25" s="30"/>
      <c r="S25" s="5"/>
    </row>
    <row r="26" spans="1:19" ht="12.75" outlineLevel="1">
      <c r="A26" s="46" t="s">
        <v>18</v>
      </c>
      <c r="B26" s="29">
        <f aca="true" t="shared" si="10" ref="B26:S26">SUM(B24:B25)</f>
        <v>0</v>
      </c>
      <c r="C26" s="29">
        <f t="shared" si="10"/>
        <v>0</v>
      </c>
      <c r="D26" s="29">
        <f t="shared" si="10"/>
        <v>0</v>
      </c>
      <c r="E26" s="29">
        <f t="shared" si="10"/>
        <v>0</v>
      </c>
      <c r="F26" s="29">
        <f t="shared" si="10"/>
        <v>0</v>
      </c>
      <c r="G26" s="29">
        <f t="shared" si="10"/>
        <v>0</v>
      </c>
      <c r="H26" s="29">
        <f t="shared" si="10"/>
        <v>0</v>
      </c>
      <c r="I26" s="29">
        <f t="shared" si="10"/>
        <v>0</v>
      </c>
      <c r="J26" s="29">
        <f t="shared" si="10"/>
        <v>0</v>
      </c>
      <c r="K26" s="29">
        <f t="shared" si="10"/>
        <v>0</v>
      </c>
      <c r="L26" s="29">
        <f t="shared" si="10"/>
        <v>0</v>
      </c>
      <c r="M26" s="29">
        <f t="shared" si="10"/>
        <v>0</v>
      </c>
      <c r="N26" s="29">
        <f t="shared" si="10"/>
        <v>0</v>
      </c>
      <c r="O26" s="29">
        <f t="shared" si="10"/>
        <v>0</v>
      </c>
      <c r="P26" s="29">
        <f t="shared" si="10"/>
        <v>0</v>
      </c>
      <c r="Q26" s="29">
        <f t="shared" si="10"/>
        <v>0</v>
      </c>
      <c r="R26" s="29">
        <f t="shared" si="10"/>
        <v>0</v>
      </c>
      <c r="S26" s="28">
        <f t="shared" si="10"/>
        <v>0</v>
      </c>
    </row>
    <row r="27" spans="1:19" ht="12.75" outlineLevel="1">
      <c r="A27" s="51" t="s">
        <v>14</v>
      </c>
      <c r="B27" s="35"/>
      <c r="C27" s="35"/>
      <c r="D27" s="35"/>
      <c r="E27" s="35"/>
      <c r="F27" s="35"/>
      <c r="G27" s="35"/>
      <c r="H27" s="35"/>
      <c r="I27" s="35"/>
      <c r="J27" s="35"/>
      <c r="K27" s="35"/>
      <c r="L27" s="35"/>
      <c r="M27" s="35"/>
      <c r="N27" s="35"/>
      <c r="O27" s="35"/>
      <c r="P27" s="35"/>
      <c r="Q27" s="35"/>
      <c r="R27" s="35"/>
      <c r="S27" s="34"/>
    </row>
    <row r="28" spans="1:19" ht="12.75" outlineLevel="1">
      <c r="A28" s="5"/>
      <c r="B28" s="42"/>
      <c r="C28" s="42"/>
      <c r="D28" s="42"/>
      <c r="E28" s="42"/>
      <c r="F28" s="42"/>
      <c r="G28" s="42"/>
      <c r="H28" s="42"/>
      <c r="I28" s="42"/>
      <c r="J28" s="42"/>
      <c r="K28" s="42"/>
      <c r="L28" s="42"/>
      <c r="M28" s="42"/>
      <c r="N28" s="42"/>
      <c r="O28" s="42"/>
      <c r="P28" s="42"/>
      <c r="Q28" s="42"/>
      <c r="R28" s="42"/>
      <c r="S28" s="28"/>
    </row>
    <row r="29" spans="1:19" ht="12.75" outlineLevel="1">
      <c r="A29" s="33" t="s">
        <v>17</v>
      </c>
      <c r="B29" s="32"/>
      <c r="C29" s="32"/>
      <c r="D29" s="32"/>
      <c r="E29" s="32"/>
      <c r="F29" s="32"/>
      <c r="G29" s="32"/>
      <c r="H29" s="32"/>
      <c r="I29" s="32"/>
      <c r="J29" s="32"/>
      <c r="K29" s="32"/>
      <c r="L29" s="32"/>
      <c r="M29" s="32"/>
      <c r="N29" s="32"/>
      <c r="O29" s="32"/>
      <c r="P29" s="32"/>
      <c r="Q29" s="32"/>
      <c r="R29" s="32"/>
      <c r="S29" s="31"/>
    </row>
    <row r="30" spans="1:19" ht="12.75" outlineLevel="1">
      <c r="A30" s="47" t="s">
        <v>12</v>
      </c>
      <c r="B30" s="30"/>
      <c r="C30" s="30"/>
      <c r="D30" s="30"/>
      <c r="E30" s="30"/>
      <c r="F30" s="30"/>
      <c r="G30" s="30"/>
      <c r="H30" s="30"/>
      <c r="I30" s="30"/>
      <c r="J30" s="30"/>
      <c r="K30" s="30"/>
      <c r="L30" s="30"/>
      <c r="M30" s="30"/>
      <c r="N30" s="30"/>
      <c r="O30" s="30"/>
      <c r="P30" s="30"/>
      <c r="Q30" s="30"/>
      <c r="R30" s="30"/>
      <c r="S30" s="5"/>
    </row>
    <row r="31" spans="1:19" ht="25.5" outlineLevel="1">
      <c r="A31" s="47" t="s">
        <v>16</v>
      </c>
      <c r="B31" s="30"/>
      <c r="C31" s="30"/>
      <c r="D31" s="30"/>
      <c r="E31" s="30"/>
      <c r="F31" s="30"/>
      <c r="G31" s="30"/>
      <c r="H31" s="30"/>
      <c r="I31" s="30"/>
      <c r="J31" s="30"/>
      <c r="K31" s="30"/>
      <c r="L31" s="30"/>
      <c r="M31" s="30"/>
      <c r="N31" s="30"/>
      <c r="O31" s="30"/>
      <c r="P31" s="30"/>
      <c r="Q31" s="30"/>
      <c r="R31" s="30"/>
      <c r="S31" s="5"/>
    </row>
    <row r="32" spans="1:19" ht="12.75" outlineLevel="1">
      <c r="A32" s="46" t="s">
        <v>15</v>
      </c>
      <c r="B32" s="29">
        <f aca="true" t="shared" si="11" ref="B32:S32">SUM(B30:B31)</f>
        <v>0</v>
      </c>
      <c r="C32" s="29">
        <f t="shared" si="11"/>
        <v>0</v>
      </c>
      <c r="D32" s="29">
        <f t="shared" si="11"/>
        <v>0</v>
      </c>
      <c r="E32" s="29">
        <f t="shared" si="11"/>
        <v>0</v>
      </c>
      <c r="F32" s="29">
        <f t="shared" si="11"/>
        <v>0</v>
      </c>
      <c r="G32" s="29">
        <f t="shared" si="11"/>
        <v>0</v>
      </c>
      <c r="H32" s="29">
        <f t="shared" si="11"/>
        <v>0</v>
      </c>
      <c r="I32" s="29">
        <f t="shared" si="11"/>
        <v>0</v>
      </c>
      <c r="J32" s="29">
        <f t="shared" si="11"/>
        <v>0</v>
      </c>
      <c r="K32" s="29">
        <f t="shared" si="11"/>
        <v>0</v>
      </c>
      <c r="L32" s="29">
        <f t="shared" si="11"/>
        <v>0</v>
      </c>
      <c r="M32" s="29">
        <f t="shared" si="11"/>
        <v>0</v>
      </c>
      <c r="N32" s="29">
        <f t="shared" si="11"/>
        <v>0</v>
      </c>
      <c r="O32" s="29">
        <f t="shared" si="11"/>
        <v>0</v>
      </c>
      <c r="P32" s="29">
        <f t="shared" si="11"/>
        <v>0</v>
      </c>
      <c r="Q32" s="29">
        <f t="shared" si="11"/>
        <v>0</v>
      </c>
      <c r="R32" s="29">
        <f t="shared" si="11"/>
        <v>0</v>
      </c>
      <c r="S32" s="28">
        <f t="shared" si="11"/>
        <v>0</v>
      </c>
    </row>
    <row r="33" spans="1:19" ht="12.75" outlineLevel="1">
      <c r="A33" s="49" t="s">
        <v>14</v>
      </c>
      <c r="B33" s="27"/>
      <c r="C33" s="27"/>
      <c r="D33" s="27"/>
      <c r="E33" s="27"/>
      <c r="F33" s="27"/>
      <c r="G33" s="27"/>
      <c r="H33" s="27"/>
      <c r="I33" s="27"/>
      <c r="J33" s="27"/>
      <c r="K33" s="27"/>
      <c r="L33" s="27"/>
      <c r="M33" s="27"/>
      <c r="N33" s="27"/>
      <c r="O33" s="27"/>
      <c r="P33" s="27"/>
      <c r="Q33" s="27"/>
      <c r="R33" s="27"/>
      <c r="S33" s="26"/>
    </row>
    <row r="34" spans="1:19" ht="12.75">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c r="C36" s="30"/>
      <c r="D36" s="30">
        <v>833</v>
      </c>
      <c r="E36" s="30">
        <v>867</v>
      </c>
      <c r="F36" s="30">
        <v>1025</v>
      </c>
      <c r="G36" s="30">
        <v>1134</v>
      </c>
      <c r="H36" s="30">
        <f>695+1328</f>
        <v>2023</v>
      </c>
      <c r="I36" s="30">
        <f>1382+700</f>
        <v>2082</v>
      </c>
      <c r="J36" s="30">
        <f>1753+767</f>
        <v>2520</v>
      </c>
      <c r="K36" s="30">
        <f>2265+800</f>
        <v>3065</v>
      </c>
      <c r="L36" s="30">
        <f>2286+813</f>
        <v>3099</v>
      </c>
      <c r="M36" s="30">
        <f>2403+886</f>
        <v>3289</v>
      </c>
      <c r="N36" s="30">
        <f>2593+878</f>
        <v>3471</v>
      </c>
      <c r="O36" s="30">
        <v>3819</v>
      </c>
      <c r="P36" s="30">
        <v>2941</v>
      </c>
      <c r="Q36" s="30">
        <v>4166</v>
      </c>
      <c r="R36" s="30">
        <v>4371</v>
      </c>
      <c r="S36" s="5">
        <v>4550</v>
      </c>
    </row>
    <row r="37" spans="1:19" ht="25.5">
      <c r="A37" s="47" t="s">
        <v>16</v>
      </c>
      <c r="B37" s="30">
        <f>424</f>
        <v>424</v>
      </c>
      <c r="C37" s="30">
        <f>231+1490</f>
        <v>1721</v>
      </c>
      <c r="D37" s="30">
        <f>1201+2747</f>
        <v>3948</v>
      </c>
      <c r="E37" s="30">
        <f>1687+1404</f>
        <v>3091</v>
      </c>
      <c r="F37" s="30">
        <f>2280+1517</f>
        <v>3797</v>
      </c>
      <c r="G37" s="30">
        <f>1126+2+186+1343+99+51+190</f>
        <v>2997</v>
      </c>
      <c r="H37" s="30">
        <f>1244+59</f>
        <v>1303</v>
      </c>
      <c r="I37" s="30">
        <f>76+810</f>
        <v>886</v>
      </c>
      <c r="J37" s="30">
        <f>83+1027</f>
        <v>1110</v>
      </c>
      <c r="K37" s="30">
        <f>1122</f>
        <v>1122</v>
      </c>
      <c r="L37" s="30">
        <f>1289</f>
        <v>1289</v>
      </c>
      <c r="M37" s="30">
        <v>961</v>
      </c>
      <c r="N37" s="30">
        <f>1123</f>
        <v>1123</v>
      </c>
      <c r="O37" s="30">
        <f>170+1003</f>
        <v>1173</v>
      </c>
      <c r="P37" s="30">
        <f>5976+214</f>
        <v>6190</v>
      </c>
      <c r="Q37" s="30">
        <f>256+1504</f>
        <v>1760</v>
      </c>
      <c r="R37" s="30">
        <f>366+91+2166</f>
        <v>2623</v>
      </c>
      <c r="S37" s="5">
        <f>79+434+3179</f>
        <v>3692</v>
      </c>
    </row>
    <row r="38" spans="1:19" ht="12.75">
      <c r="A38" s="46" t="s">
        <v>18</v>
      </c>
      <c r="B38" s="29">
        <f aca="true" t="shared" si="12" ref="B38:S38">SUM(B36:B37)</f>
        <v>424</v>
      </c>
      <c r="C38" s="29">
        <f t="shared" si="12"/>
        <v>1721</v>
      </c>
      <c r="D38" s="29">
        <f t="shared" si="12"/>
        <v>4781</v>
      </c>
      <c r="E38" s="29">
        <f t="shared" si="12"/>
        <v>3958</v>
      </c>
      <c r="F38" s="29">
        <f t="shared" si="12"/>
        <v>4822</v>
      </c>
      <c r="G38" s="29">
        <f t="shared" si="12"/>
        <v>4131</v>
      </c>
      <c r="H38" s="29">
        <f t="shared" si="12"/>
        <v>3326</v>
      </c>
      <c r="I38" s="29">
        <f t="shared" si="12"/>
        <v>2968</v>
      </c>
      <c r="J38" s="29">
        <f t="shared" si="12"/>
        <v>3630</v>
      </c>
      <c r="K38" s="29">
        <f t="shared" si="12"/>
        <v>4187</v>
      </c>
      <c r="L38" s="29">
        <f t="shared" si="12"/>
        <v>4388</v>
      </c>
      <c r="M38" s="29">
        <f t="shared" si="12"/>
        <v>4250</v>
      </c>
      <c r="N38" s="29">
        <f t="shared" si="12"/>
        <v>4594</v>
      </c>
      <c r="O38" s="29">
        <f t="shared" si="12"/>
        <v>4992</v>
      </c>
      <c r="P38" s="29">
        <f t="shared" si="12"/>
        <v>9131</v>
      </c>
      <c r="Q38" s="29">
        <f t="shared" si="12"/>
        <v>5926</v>
      </c>
      <c r="R38" s="29">
        <f t="shared" si="12"/>
        <v>6994</v>
      </c>
      <c r="S38" s="28">
        <f t="shared" si="12"/>
        <v>8242</v>
      </c>
    </row>
    <row r="39" spans="1:19" ht="12.75">
      <c r="A39" s="51" t="s">
        <v>14</v>
      </c>
      <c r="B39" s="35">
        <f aca="true" t="shared" si="13" ref="B39:S39">B38-B66</f>
        <v>-7082</v>
      </c>
      <c r="C39" s="35">
        <f t="shared" si="13"/>
        <v>-7317</v>
      </c>
      <c r="D39" s="35">
        <f t="shared" si="13"/>
        <v>-3806</v>
      </c>
      <c r="E39" s="35">
        <f t="shared" si="13"/>
        <v>-4370</v>
      </c>
      <c r="F39" s="35">
        <f t="shared" si="13"/>
        <v>-5315</v>
      </c>
      <c r="G39" s="35">
        <f t="shared" si="13"/>
        <v>-3266</v>
      </c>
      <c r="H39" s="35">
        <f t="shared" si="13"/>
        <v>-4590</v>
      </c>
      <c r="I39" s="35">
        <f t="shared" si="13"/>
        <v>-5002</v>
      </c>
      <c r="J39" s="35">
        <f t="shared" si="13"/>
        <v>-5610</v>
      </c>
      <c r="K39" s="35">
        <f t="shared" si="13"/>
        <v>-4193</v>
      </c>
      <c r="L39" s="35">
        <f t="shared" si="13"/>
        <v>-5523</v>
      </c>
      <c r="M39" s="35">
        <f t="shared" si="13"/>
        <v>-4759</v>
      </c>
      <c r="N39" s="35">
        <f t="shared" si="13"/>
        <v>-3777</v>
      </c>
      <c r="O39" s="35">
        <f t="shared" si="13"/>
        <v>-5013</v>
      </c>
      <c r="P39" s="35">
        <f t="shared" si="13"/>
        <v>-1769</v>
      </c>
      <c r="Q39" s="35">
        <f t="shared" si="13"/>
        <v>-3739</v>
      </c>
      <c r="R39" s="35">
        <f t="shared" si="13"/>
        <v>-5626</v>
      </c>
      <c r="S39" s="34">
        <f t="shared" si="13"/>
        <v>-5760</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64">
        <v>753</v>
      </c>
      <c r="E42" s="64">
        <v>821</v>
      </c>
      <c r="F42" s="64">
        <v>859</v>
      </c>
      <c r="G42" s="64">
        <v>873</v>
      </c>
      <c r="H42" s="30"/>
      <c r="I42" s="30"/>
      <c r="J42" s="30"/>
      <c r="K42" s="30"/>
      <c r="L42" s="30"/>
      <c r="M42" s="30"/>
      <c r="N42" s="30"/>
      <c r="O42" s="30"/>
      <c r="P42" s="30"/>
      <c r="Q42" s="30"/>
      <c r="R42" s="30"/>
      <c r="S42" s="5"/>
    </row>
    <row r="43" spans="1:19" ht="25.5">
      <c r="A43" s="47" t="s">
        <v>16</v>
      </c>
      <c r="B43" s="30">
        <f>10+67+63</f>
        <v>140</v>
      </c>
      <c r="C43" s="30">
        <f>74+22</f>
        <v>96</v>
      </c>
      <c r="D43" s="30">
        <f>26+371+161</f>
        <v>558</v>
      </c>
      <c r="E43" s="30">
        <f>190+592+245</f>
        <v>1027</v>
      </c>
      <c r="F43" s="30">
        <f>34+617+222</f>
        <v>873</v>
      </c>
      <c r="G43" s="30">
        <f>41+22+882+388+6</f>
        <v>1339</v>
      </c>
      <c r="H43" s="30">
        <f>50+1930</f>
        <v>1980</v>
      </c>
      <c r="I43" s="30">
        <f>62+2126</f>
        <v>2188</v>
      </c>
      <c r="J43" s="30">
        <f>61+1931</f>
        <v>1992</v>
      </c>
      <c r="K43" s="30">
        <f>1767+78</f>
        <v>1845</v>
      </c>
      <c r="L43" s="30">
        <f>76+1883</f>
        <v>1959</v>
      </c>
      <c r="M43" s="30">
        <f>83+1913</f>
        <v>1996</v>
      </c>
      <c r="N43" s="30">
        <f>95+1855</f>
        <v>1950</v>
      </c>
      <c r="O43" s="30">
        <f>169+20+2107</f>
        <v>2296</v>
      </c>
      <c r="P43" s="30">
        <f>194+16+1807</f>
        <v>2017</v>
      </c>
      <c r="Q43" s="30">
        <f>193+4+2103</f>
        <v>2300</v>
      </c>
      <c r="R43" s="30">
        <f>60+20+1409</f>
        <v>1489</v>
      </c>
      <c r="S43" s="5">
        <f>64+21+1333</f>
        <v>1418</v>
      </c>
    </row>
    <row r="44" spans="1:19" ht="12.75">
      <c r="A44" s="46" t="s">
        <v>18</v>
      </c>
      <c r="B44" s="29">
        <f aca="true" t="shared" si="14" ref="B44:S44">SUM(B42:B43)</f>
        <v>140</v>
      </c>
      <c r="C44" s="29">
        <f t="shared" si="14"/>
        <v>96</v>
      </c>
      <c r="D44" s="29">
        <f t="shared" si="14"/>
        <v>1311</v>
      </c>
      <c r="E44" s="29">
        <f t="shared" si="14"/>
        <v>1848</v>
      </c>
      <c r="F44" s="29">
        <f t="shared" si="14"/>
        <v>1732</v>
      </c>
      <c r="G44" s="29">
        <f t="shared" si="14"/>
        <v>2212</v>
      </c>
      <c r="H44" s="29">
        <f t="shared" si="14"/>
        <v>1980</v>
      </c>
      <c r="I44" s="29">
        <f t="shared" si="14"/>
        <v>2188</v>
      </c>
      <c r="J44" s="29">
        <f t="shared" si="14"/>
        <v>1992</v>
      </c>
      <c r="K44" s="29">
        <f t="shared" si="14"/>
        <v>1845</v>
      </c>
      <c r="L44" s="29">
        <f t="shared" si="14"/>
        <v>1959</v>
      </c>
      <c r="M44" s="29">
        <f t="shared" si="14"/>
        <v>1996</v>
      </c>
      <c r="N44" s="29">
        <f t="shared" si="14"/>
        <v>1950</v>
      </c>
      <c r="O44" s="29">
        <f t="shared" si="14"/>
        <v>2296</v>
      </c>
      <c r="P44" s="29">
        <f t="shared" si="14"/>
        <v>2017</v>
      </c>
      <c r="Q44" s="29">
        <f t="shared" si="14"/>
        <v>2300</v>
      </c>
      <c r="R44" s="29">
        <f t="shared" si="14"/>
        <v>1489</v>
      </c>
      <c r="S44" s="28">
        <f t="shared" si="14"/>
        <v>1418</v>
      </c>
    </row>
    <row r="45" spans="1:20" ht="12.75">
      <c r="A45" s="51" t="s">
        <v>14</v>
      </c>
      <c r="B45" s="35">
        <f aca="true" t="shared" si="15" ref="B45:S45">B44-B67</f>
        <v>-4080</v>
      </c>
      <c r="C45" s="35">
        <f t="shared" si="15"/>
        <v>-3756</v>
      </c>
      <c r="D45" s="35">
        <f t="shared" si="15"/>
        <v>-4136</v>
      </c>
      <c r="E45" s="35">
        <f t="shared" si="15"/>
        <v>-3966</v>
      </c>
      <c r="F45" s="35">
        <f t="shared" si="15"/>
        <v>-4376</v>
      </c>
      <c r="G45" s="35">
        <f t="shared" si="15"/>
        <v>-4041</v>
      </c>
      <c r="H45" s="35">
        <f t="shared" si="15"/>
        <v>-4405</v>
      </c>
      <c r="I45" s="35">
        <f t="shared" si="15"/>
        <v>-4606</v>
      </c>
      <c r="J45" s="35">
        <f t="shared" si="15"/>
        <v>-4785</v>
      </c>
      <c r="K45" s="35">
        <f t="shared" si="15"/>
        <v>-5450</v>
      </c>
      <c r="L45" s="35">
        <f t="shared" si="15"/>
        <v>-6440</v>
      </c>
      <c r="M45" s="35">
        <f t="shared" si="15"/>
        <v>-6787</v>
      </c>
      <c r="N45" s="35">
        <f t="shared" si="15"/>
        <v>-6865</v>
      </c>
      <c r="O45" s="35">
        <f t="shared" si="15"/>
        <v>-7825</v>
      </c>
      <c r="P45" s="35">
        <f t="shared" si="15"/>
        <v>-10146</v>
      </c>
      <c r="Q45" s="35">
        <f t="shared" si="15"/>
        <v>-7784</v>
      </c>
      <c r="R45" s="35">
        <f t="shared" si="15"/>
        <v>-8853</v>
      </c>
      <c r="S45" s="34">
        <f t="shared" si="15"/>
        <v>-9098</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c r="D48" s="2">
        <f>361</f>
        <v>361</v>
      </c>
      <c r="E48" s="2">
        <v>363</v>
      </c>
      <c r="F48" s="2">
        <v>626</v>
      </c>
      <c r="G48" s="2">
        <v>638</v>
      </c>
      <c r="H48" s="2">
        <v>557</v>
      </c>
      <c r="I48" s="2">
        <v>597</v>
      </c>
      <c r="J48" s="2">
        <v>591</v>
      </c>
      <c r="K48" s="2">
        <v>590</v>
      </c>
      <c r="L48" s="2">
        <v>608</v>
      </c>
      <c r="M48" s="2">
        <v>252</v>
      </c>
      <c r="N48" s="2">
        <v>177</v>
      </c>
      <c r="O48" s="2">
        <v>174</v>
      </c>
      <c r="P48" s="2">
        <v>186</v>
      </c>
      <c r="Q48" s="2">
        <v>189</v>
      </c>
      <c r="R48" s="2">
        <v>194</v>
      </c>
      <c r="S48" s="5">
        <v>198</v>
      </c>
    </row>
    <row r="49" spans="1:19" ht="25.5">
      <c r="A49" s="47" t="s">
        <v>16</v>
      </c>
      <c r="B49" s="2">
        <v>352</v>
      </c>
      <c r="C49" s="2">
        <v>2615</v>
      </c>
      <c r="D49" s="2">
        <f>390+1</f>
        <v>391</v>
      </c>
      <c r="E49" s="2">
        <f>943+3</f>
        <v>946</v>
      </c>
      <c r="F49" s="2">
        <f>1398</f>
        <v>1398</v>
      </c>
      <c r="G49" s="2">
        <f>1683+114+42</f>
        <v>1839</v>
      </c>
      <c r="H49" s="2">
        <f>60+2986</f>
        <v>3046</v>
      </c>
      <c r="I49" s="2">
        <f>77+3445</f>
        <v>3522</v>
      </c>
      <c r="J49" s="2">
        <f>30+3179</f>
        <v>3209</v>
      </c>
      <c r="K49" s="2">
        <f>30+3162</f>
        <v>3192</v>
      </c>
      <c r="L49" s="2">
        <f>3258</f>
        <v>3258</v>
      </c>
      <c r="M49" s="2">
        <f>5214</f>
        <v>5214</v>
      </c>
      <c r="N49" s="2">
        <f>5400</f>
        <v>5400</v>
      </c>
      <c r="O49" s="2">
        <f>69+5696</f>
        <v>5765</v>
      </c>
      <c r="P49" s="2">
        <f>49+5827</f>
        <v>5876</v>
      </c>
      <c r="Q49" s="2">
        <f>49+6059</f>
        <v>6108</v>
      </c>
      <c r="R49" s="2">
        <f>55+6818</f>
        <v>6873</v>
      </c>
      <c r="S49" s="5">
        <f>47+5156</f>
        <v>5203</v>
      </c>
    </row>
    <row r="50" spans="1:19" ht="12.75">
      <c r="A50" s="46" t="s">
        <v>18</v>
      </c>
      <c r="B50" s="29">
        <f aca="true" t="shared" si="16" ref="B50:S50">SUM(B48:B49)</f>
        <v>352</v>
      </c>
      <c r="C50" s="29">
        <f t="shared" si="16"/>
        <v>2615</v>
      </c>
      <c r="D50" s="29">
        <f t="shared" si="16"/>
        <v>752</v>
      </c>
      <c r="E50" s="29">
        <f t="shared" si="16"/>
        <v>1309</v>
      </c>
      <c r="F50" s="29">
        <f t="shared" si="16"/>
        <v>2024</v>
      </c>
      <c r="G50" s="29">
        <f t="shared" si="16"/>
        <v>2477</v>
      </c>
      <c r="H50" s="29">
        <f t="shared" si="16"/>
        <v>3603</v>
      </c>
      <c r="I50" s="29">
        <f t="shared" si="16"/>
        <v>4119</v>
      </c>
      <c r="J50" s="29">
        <f t="shared" si="16"/>
        <v>3800</v>
      </c>
      <c r="K50" s="29">
        <f t="shared" si="16"/>
        <v>3782</v>
      </c>
      <c r="L50" s="29">
        <f t="shared" si="16"/>
        <v>3866</v>
      </c>
      <c r="M50" s="29">
        <f t="shared" si="16"/>
        <v>5466</v>
      </c>
      <c r="N50" s="29">
        <f t="shared" si="16"/>
        <v>5577</v>
      </c>
      <c r="O50" s="29">
        <f t="shared" si="16"/>
        <v>5939</v>
      </c>
      <c r="P50" s="29">
        <f t="shared" si="16"/>
        <v>6062</v>
      </c>
      <c r="Q50" s="29">
        <f t="shared" si="16"/>
        <v>6297</v>
      </c>
      <c r="R50" s="29">
        <f t="shared" si="16"/>
        <v>7067</v>
      </c>
      <c r="S50" s="28">
        <f t="shared" si="16"/>
        <v>5401</v>
      </c>
    </row>
    <row r="51" spans="1:19" ht="12.75">
      <c r="A51" s="51" t="s">
        <v>14</v>
      </c>
      <c r="B51" s="35">
        <f aca="true" t="shared" si="17" ref="B51:S51">B50-B68</f>
        <v>-888</v>
      </c>
      <c r="C51" s="35">
        <f t="shared" si="17"/>
        <v>2136</v>
      </c>
      <c r="D51" s="35">
        <f t="shared" si="17"/>
        <v>-1201</v>
      </c>
      <c r="E51" s="35">
        <f t="shared" si="17"/>
        <v>-1271</v>
      </c>
      <c r="F51" s="35">
        <f t="shared" si="17"/>
        <v>-1539</v>
      </c>
      <c r="G51" s="35">
        <f t="shared" si="17"/>
        <v>-1439</v>
      </c>
      <c r="H51" s="35">
        <f t="shared" si="17"/>
        <v>-3331</v>
      </c>
      <c r="I51" s="35">
        <f t="shared" si="17"/>
        <v>-3030</v>
      </c>
      <c r="J51" s="35">
        <f t="shared" si="17"/>
        <v>-3034</v>
      </c>
      <c r="K51" s="35">
        <f t="shared" si="17"/>
        <v>-3417</v>
      </c>
      <c r="L51" s="35">
        <f t="shared" si="17"/>
        <v>-3190</v>
      </c>
      <c r="M51" s="35">
        <f t="shared" si="17"/>
        <v>-3141</v>
      </c>
      <c r="N51" s="35">
        <f t="shared" si="17"/>
        <v>-3278</v>
      </c>
      <c r="O51" s="35">
        <f t="shared" si="17"/>
        <v>-3262</v>
      </c>
      <c r="P51" s="35">
        <f t="shared" si="17"/>
        <v>-3724</v>
      </c>
      <c r="Q51" s="35">
        <f t="shared" si="17"/>
        <v>-3901</v>
      </c>
      <c r="R51" s="35">
        <f t="shared" si="17"/>
        <v>-3939</v>
      </c>
      <c r="S51" s="34">
        <f t="shared" si="17"/>
        <v>-4156</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SUM(B18,B24,B30,B36,B42,B48)</f>
        <v>22184</v>
      </c>
      <c r="C54" s="66">
        <f aca="true" t="shared" si="18" ref="C54:S54">SUM(C18,C24,C30,C36,C42,C48)</f>
        <v>22036</v>
      </c>
      <c r="D54" s="66">
        <f t="shared" si="18"/>
        <v>24440</v>
      </c>
      <c r="E54" s="66">
        <f t="shared" si="18"/>
        <v>25025</v>
      </c>
      <c r="F54" s="66">
        <f t="shared" si="18"/>
        <v>26196</v>
      </c>
      <c r="G54" s="66">
        <f t="shared" si="18"/>
        <v>27078</v>
      </c>
      <c r="H54" s="66">
        <f t="shared" si="18"/>
        <v>27793</v>
      </c>
      <c r="I54" s="66">
        <f t="shared" si="18"/>
        <v>27897</v>
      </c>
      <c r="J54" s="66">
        <f t="shared" si="18"/>
        <v>28329</v>
      </c>
      <c r="K54" s="66">
        <f t="shared" si="18"/>
        <v>27865</v>
      </c>
      <c r="L54" s="66">
        <f t="shared" si="18"/>
        <v>24060</v>
      </c>
      <c r="M54" s="66">
        <f t="shared" si="18"/>
        <v>27860</v>
      </c>
      <c r="N54" s="66">
        <f t="shared" si="18"/>
        <v>26972</v>
      </c>
      <c r="O54" s="66">
        <f t="shared" si="18"/>
        <v>26769</v>
      </c>
      <c r="P54" s="66">
        <f t="shared" si="18"/>
        <v>25904</v>
      </c>
      <c r="Q54" s="66">
        <f t="shared" si="18"/>
        <v>27131</v>
      </c>
      <c r="R54" s="66">
        <f t="shared" si="18"/>
        <v>27341</v>
      </c>
      <c r="S54" s="67">
        <f t="shared" si="18"/>
        <v>28208</v>
      </c>
    </row>
    <row r="55" spans="1:19" ht="12.75">
      <c r="A55" s="53" t="s">
        <v>11</v>
      </c>
      <c r="B55" s="22">
        <f>SUM(B19,B25,B31,B37,B43,B49)</f>
        <v>1879</v>
      </c>
      <c r="C55" s="22">
        <f aca="true" t="shared" si="19" ref="C55:S55">SUM(C19,C25,C31,C37,C43,C49)</f>
        <v>8948</v>
      </c>
      <c r="D55" s="22">
        <f t="shared" si="19"/>
        <v>9186</v>
      </c>
      <c r="E55" s="22">
        <f t="shared" si="19"/>
        <v>9291</v>
      </c>
      <c r="F55" s="22">
        <f t="shared" si="19"/>
        <v>10435</v>
      </c>
      <c r="G55" s="22">
        <f t="shared" si="19"/>
        <v>7706</v>
      </c>
      <c r="H55" s="22">
        <f t="shared" si="19"/>
        <v>7875</v>
      </c>
      <c r="I55" s="22">
        <f t="shared" si="19"/>
        <v>13475</v>
      </c>
      <c r="J55" s="22">
        <f t="shared" si="19"/>
        <v>12351</v>
      </c>
      <c r="K55" s="22">
        <f t="shared" si="19"/>
        <v>11537</v>
      </c>
      <c r="L55" s="22">
        <f t="shared" si="19"/>
        <v>12182</v>
      </c>
      <c r="M55" s="22">
        <f t="shared" si="19"/>
        <v>11736</v>
      </c>
      <c r="N55" s="22">
        <f t="shared" si="19"/>
        <v>9702</v>
      </c>
      <c r="O55" s="22">
        <f t="shared" si="19"/>
        <v>10302</v>
      </c>
      <c r="P55" s="22">
        <f t="shared" si="19"/>
        <v>18276</v>
      </c>
      <c r="Q55" s="22">
        <f t="shared" si="19"/>
        <v>11524</v>
      </c>
      <c r="R55" s="22">
        <f t="shared" si="19"/>
        <v>12336</v>
      </c>
      <c r="S55" s="21">
        <f t="shared" si="19"/>
        <v>11758</v>
      </c>
    </row>
    <row r="56" spans="1:19" ht="25.5">
      <c r="A56" s="54" t="s">
        <v>10</v>
      </c>
      <c r="B56" s="20">
        <f>SUM(B20,B26,B32,B38,B44,B50)</f>
        <v>24063</v>
      </c>
      <c r="C56" s="20">
        <f aca="true" t="shared" si="20" ref="C56:S56">SUM(C20,C26,C32,C38,C44,C50)</f>
        <v>30984</v>
      </c>
      <c r="D56" s="20">
        <f t="shared" si="20"/>
        <v>33626</v>
      </c>
      <c r="E56" s="20">
        <f t="shared" si="20"/>
        <v>34316</v>
      </c>
      <c r="F56" s="20">
        <f t="shared" si="20"/>
        <v>36631</v>
      </c>
      <c r="G56" s="20">
        <f t="shared" si="20"/>
        <v>34784</v>
      </c>
      <c r="H56" s="20">
        <f t="shared" si="20"/>
        <v>35668</v>
      </c>
      <c r="I56" s="20">
        <f t="shared" si="20"/>
        <v>41372</v>
      </c>
      <c r="J56" s="20">
        <f t="shared" si="20"/>
        <v>40680</v>
      </c>
      <c r="K56" s="20">
        <f t="shared" si="20"/>
        <v>39402</v>
      </c>
      <c r="L56" s="20">
        <f t="shared" si="20"/>
        <v>36242</v>
      </c>
      <c r="M56" s="20">
        <f t="shared" si="20"/>
        <v>39596</v>
      </c>
      <c r="N56" s="20">
        <f t="shared" si="20"/>
        <v>36674</v>
      </c>
      <c r="O56" s="20">
        <f t="shared" si="20"/>
        <v>37071</v>
      </c>
      <c r="P56" s="20">
        <f t="shared" si="20"/>
        <v>44180</v>
      </c>
      <c r="Q56" s="20">
        <f t="shared" si="20"/>
        <v>38655</v>
      </c>
      <c r="R56" s="20">
        <f t="shared" si="20"/>
        <v>39677</v>
      </c>
      <c r="S56" s="19">
        <f t="shared" si="20"/>
        <v>39966</v>
      </c>
    </row>
    <row r="57" spans="1:19" ht="12.75">
      <c r="A57" s="55" t="s">
        <v>9</v>
      </c>
      <c r="B57" s="71">
        <f>SUM(B21,B27,B33,B39,B45,B51)</f>
        <v>-8306</v>
      </c>
      <c r="C57" s="71">
        <f aca="true" t="shared" si="21" ref="C57:S57">SUM(C21,C27,C33,C39,C45,C51)</f>
        <v>-6647</v>
      </c>
      <c r="D57" s="71">
        <f t="shared" si="21"/>
        <v>-7566</v>
      </c>
      <c r="E57" s="71">
        <f t="shared" si="21"/>
        <v>-7988</v>
      </c>
      <c r="F57" s="71">
        <f t="shared" si="21"/>
        <v>-10215</v>
      </c>
      <c r="G57" s="71">
        <f t="shared" si="21"/>
        <v>-10059</v>
      </c>
      <c r="H57" s="71">
        <f t="shared" si="21"/>
        <v>-10501</v>
      </c>
      <c r="I57" s="71">
        <f t="shared" si="21"/>
        <v>-8799</v>
      </c>
      <c r="J57" s="71">
        <f t="shared" si="21"/>
        <v>-9426</v>
      </c>
      <c r="K57" s="71">
        <f t="shared" si="21"/>
        <v>-9564</v>
      </c>
      <c r="L57" s="71">
        <f t="shared" si="21"/>
        <v>-14568</v>
      </c>
      <c r="M57" s="71">
        <f t="shared" si="21"/>
        <v>-9972</v>
      </c>
      <c r="N57" s="71">
        <f t="shared" si="21"/>
        <v>-11371</v>
      </c>
      <c r="O57" s="71">
        <f t="shared" si="21"/>
        <v>-15067</v>
      </c>
      <c r="P57" s="71">
        <f t="shared" si="21"/>
        <v>-15639</v>
      </c>
      <c r="Q57" s="71">
        <f t="shared" si="21"/>
        <v>-15483</v>
      </c>
      <c r="R57" s="71">
        <f t="shared" si="21"/>
        <v>-18781</v>
      </c>
      <c r="S57" s="18">
        <f t="shared" si="21"/>
        <v>-17791</v>
      </c>
    </row>
    <row r="58" spans="1:19" ht="12.75">
      <c r="A58" s="56" t="s">
        <v>8</v>
      </c>
      <c r="B58" s="17">
        <f aca="true" t="shared" si="22" ref="B58:S58">B59-B55-B15</f>
        <v>57201</v>
      </c>
      <c r="C58" s="17">
        <f t="shared" si="22"/>
        <v>52529</v>
      </c>
      <c r="D58" s="17">
        <f t="shared" si="22"/>
        <v>46416</v>
      </c>
      <c r="E58" s="17">
        <f t="shared" si="22"/>
        <v>46420</v>
      </c>
      <c r="F58" s="17">
        <f t="shared" si="22"/>
        <v>50452</v>
      </c>
      <c r="G58" s="17">
        <f t="shared" si="22"/>
        <v>62415</v>
      </c>
      <c r="H58" s="17">
        <f t="shared" si="22"/>
        <v>62233</v>
      </c>
      <c r="I58" s="17">
        <f t="shared" si="22"/>
        <v>57556</v>
      </c>
      <c r="J58" s="17">
        <f t="shared" si="22"/>
        <v>59144</v>
      </c>
      <c r="K58" s="17">
        <f t="shared" si="22"/>
        <v>62213</v>
      </c>
      <c r="L58" s="17">
        <f t="shared" si="22"/>
        <v>64950</v>
      </c>
      <c r="M58" s="17">
        <f t="shared" si="22"/>
        <v>70436</v>
      </c>
      <c r="N58" s="17">
        <f t="shared" si="22"/>
        <v>73066</v>
      </c>
      <c r="O58" s="17">
        <f t="shared" si="22"/>
        <v>75184</v>
      </c>
      <c r="P58" s="17">
        <f t="shared" si="22"/>
        <v>80115</v>
      </c>
      <c r="Q58" s="17">
        <f t="shared" si="22"/>
        <v>92460</v>
      </c>
      <c r="R58" s="17">
        <f t="shared" si="22"/>
        <v>113120</v>
      </c>
      <c r="S58" s="16">
        <f t="shared" si="22"/>
        <v>114857</v>
      </c>
    </row>
    <row r="59" spans="1:19" ht="12.75">
      <c r="A59" s="57" t="s">
        <v>7</v>
      </c>
      <c r="B59" s="7">
        <v>122567</v>
      </c>
      <c r="C59" s="7">
        <v>122063</v>
      </c>
      <c r="D59" s="7">
        <v>116955</v>
      </c>
      <c r="E59" s="7">
        <v>117119</v>
      </c>
      <c r="F59" s="7">
        <v>124018</v>
      </c>
      <c r="G59" s="7">
        <v>133883</v>
      </c>
      <c r="H59" s="7">
        <v>135723</v>
      </c>
      <c r="I59" s="7">
        <v>136177</v>
      </c>
      <c r="J59" s="7">
        <v>139649</v>
      </c>
      <c r="K59" s="7">
        <v>141556</v>
      </c>
      <c r="L59" s="7">
        <v>149592</v>
      </c>
      <c r="M59" s="7">
        <v>155335</v>
      </c>
      <c r="N59" s="7">
        <f>157274</f>
        <v>157274</v>
      </c>
      <c r="O59" s="7">
        <v>162755</v>
      </c>
      <c r="P59" s="7">
        <f>177230</f>
        <v>177230</v>
      </c>
      <c r="Q59" s="7">
        <v>185042</v>
      </c>
      <c r="R59" s="7">
        <v>211246</v>
      </c>
      <c r="S59" s="6">
        <v>220691</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1786+1026+439</f>
        <v>3251</v>
      </c>
      <c r="C62" s="2">
        <f>2193+409+1056</f>
        <v>3658</v>
      </c>
      <c r="D62" s="2">
        <f>2430+438+1155</f>
        <v>4023</v>
      </c>
      <c r="E62" s="2">
        <f>1078+543+2439</f>
        <v>4060</v>
      </c>
      <c r="F62" s="2">
        <f>2949+710+1159</f>
        <v>4818</v>
      </c>
      <c r="G62" s="2">
        <f>526+2896+1169</f>
        <v>4591</v>
      </c>
      <c r="H62" s="2">
        <f>2738+400+1361</f>
        <v>4499</v>
      </c>
      <c r="I62" s="2">
        <f>2854+96+404+1252</f>
        <v>4606</v>
      </c>
      <c r="J62" s="2">
        <f>2225+2986+1264+696</f>
        <v>7171</v>
      </c>
      <c r="K62" s="2">
        <f>3020+2157+1201+521</f>
        <v>6899</v>
      </c>
      <c r="L62" s="2">
        <f>4518+2076+1280+522</f>
        <v>8396</v>
      </c>
      <c r="M62" s="2">
        <f>4624+2027+520+1253</f>
        <v>8424</v>
      </c>
      <c r="N62" s="2">
        <f>4899+1976+1321+527</f>
        <v>8723</v>
      </c>
      <c r="O62" s="2">
        <f>6081+1374+436</f>
        <v>7891</v>
      </c>
      <c r="P62" s="2">
        <f>6253</f>
        <v>6253</v>
      </c>
      <c r="Q62" s="2">
        <f>6398+1547+725</f>
        <v>8670</v>
      </c>
      <c r="R62" s="2">
        <f>1565+713+6393</f>
        <v>8671</v>
      </c>
      <c r="S62" s="5">
        <f>6615+877+1752</f>
        <v>9244</v>
      </c>
    </row>
    <row r="63" spans="1:19" ht="12.75">
      <c r="A63" s="58" t="s">
        <v>37</v>
      </c>
      <c r="B63" s="15">
        <f>1173+39330</f>
        <v>40503</v>
      </c>
      <c r="C63" s="15">
        <f>33183+1373</f>
        <v>34556</v>
      </c>
      <c r="D63" s="15">
        <f>1506+31933</f>
        <v>33439</v>
      </c>
      <c r="E63" s="15">
        <f>3089+27471+1100</f>
        <v>31660</v>
      </c>
      <c r="F63" s="15">
        <f>2885+28501+1135</f>
        <v>32521</v>
      </c>
      <c r="G63" s="15">
        <f>29829+3125+1109</f>
        <v>34063</v>
      </c>
      <c r="H63" s="15">
        <v>36511</v>
      </c>
      <c r="I63" s="15">
        <f>38920</f>
        <v>38920</v>
      </c>
      <c r="J63" s="15">
        <f>36693</f>
        <v>36693</v>
      </c>
      <c r="K63" s="15">
        <f>36692</f>
        <v>36692</v>
      </c>
      <c r="L63" s="15">
        <f>44277</f>
        <v>44277</v>
      </c>
      <c r="M63" s="15">
        <f>48046</f>
        <v>48046</v>
      </c>
      <c r="N63" s="15">
        <f>47437</f>
        <v>47437</v>
      </c>
      <c r="O63" s="15">
        <f>52013</f>
        <v>52013</v>
      </c>
      <c r="P63" s="15">
        <f>54975</f>
        <v>54975</v>
      </c>
      <c r="Q63" s="15">
        <v>67809</v>
      </c>
      <c r="R63" s="15">
        <v>94661</v>
      </c>
      <c r="S63" s="14">
        <f>99125</f>
        <v>99125</v>
      </c>
    </row>
    <row r="64" spans="1:19" ht="25.5" outlineLevel="1">
      <c r="A64" s="118" t="s">
        <v>52</v>
      </c>
      <c r="B64" s="119"/>
      <c r="C64" s="119"/>
      <c r="D64" s="119"/>
      <c r="E64" s="119"/>
      <c r="F64" s="119"/>
      <c r="G64" s="119"/>
      <c r="H64" s="119"/>
      <c r="I64" s="119"/>
      <c r="J64" s="119"/>
      <c r="K64" s="119"/>
      <c r="L64" s="119"/>
      <c r="M64" s="119"/>
      <c r="N64" s="119"/>
      <c r="O64" s="119"/>
      <c r="P64" s="119"/>
      <c r="Q64" s="119"/>
      <c r="R64" s="119"/>
      <c r="S64" s="122"/>
    </row>
    <row r="65" spans="1:19" ht="12.75" customHeight="1" outlineLevel="1">
      <c r="A65" s="60" t="s">
        <v>5</v>
      </c>
      <c r="B65" s="11">
        <f>1073+18330</f>
        <v>19403</v>
      </c>
      <c r="C65" s="11">
        <f>20265+3997</f>
        <v>24262</v>
      </c>
      <c r="D65" s="11">
        <f>21007+4198</f>
        <v>25205</v>
      </c>
      <c r="E65" s="11">
        <f>21479+4103</f>
        <v>25582</v>
      </c>
      <c r="F65" s="11">
        <f>22582+4456</f>
        <v>27038</v>
      </c>
      <c r="G65" s="11">
        <f>22628+4649</f>
        <v>27277</v>
      </c>
      <c r="H65" s="11">
        <f>24934</f>
        <v>24934</v>
      </c>
      <c r="I65" s="11">
        <f>28258</f>
        <v>28258</v>
      </c>
      <c r="J65" s="11">
        <f>27255</f>
        <v>27255</v>
      </c>
      <c r="K65" s="11">
        <f>26092</f>
        <v>26092</v>
      </c>
      <c r="L65" s="11">
        <f>25444</f>
        <v>25444</v>
      </c>
      <c r="M65" s="11">
        <f>23169</f>
        <v>23169</v>
      </c>
      <c r="N65" s="11">
        <f>22004</f>
        <v>22004</v>
      </c>
      <c r="O65" s="11">
        <f>22811</f>
        <v>22811</v>
      </c>
      <c r="P65" s="11">
        <f>26970</f>
        <v>26970</v>
      </c>
      <c r="Q65" s="11">
        <f>24191</f>
        <v>24191</v>
      </c>
      <c r="R65" s="11">
        <v>24490</v>
      </c>
      <c r="S65" s="10">
        <f>23682</f>
        <v>23682</v>
      </c>
    </row>
    <row r="66" spans="1:19" ht="12.75">
      <c r="A66" s="118" t="s">
        <v>42</v>
      </c>
      <c r="B66" s="121">
        <f>2829+4677</f>
        <v>7506</v>
      </c>
      <c r="C66" s="121">
        <f>3749+5289</f>
        <v>9038</v>
      </c>
      <c r="D66" s="121">
        <f>3712+4875</f>
        <v>8587</v>
      </c>
      <c r="E66" s="121">
        <f>4259+4069</f>
        <v>8328</v>
      </c>
      <c r="F66" s="121">
        <f>4456+4421+1260</f>
        <v>10137</v>
      </c>
      <c r="G66" s="119">
        <f>5635+1762</f>
        <v>7397</v>
      </c>
      <c r="H66" s="119">
        <v>7916</v>
      </c>
      <c r="I66" s="119">
        <f>7970</f>
        <v>7970</v>
      </c>
      <c r="J66" s="119">
        <f>9240</f>
        <v>9240</v>
      </c>
      <c r="K66" s="119">
        <f>8380</f>
        <v>8380</v>
      </c>
      <c r="L66" s="119">
        <f>9911</f>
        <v>9911</v>
      </c>
      <c r="M66" s="119">
        <f>9009</f>
        <v>9009</v>
      </c>
      <c r="N66" s="119">
        <f>8371</f>
        <v>8371</v>
      </c>
      <c r="O66" s="119">
        <v>10005</v>
      </c>
      <c r="P66" s="119">
        <f>10900</f>
        <v>10900</v>
      </c>
      <c r="Q66" s="119">
        <f>9665</f>
        <v>9665</v>
      </c>
      <c r="R66" s="119">
        <f>12620</f>
        <v>12620</v>
      </c>
      <c r="S66" s="122">
        <v>14002</v>
      </c>
    </row>
    <row r="67" spans="1:19" ht="13.5" customHeight="1">
      <c r="A67" s="117" t="s">
        <v>50</v>
      </c>
      <c r="B67" s="120">
        <f>1819+925+1476</f>
        <v>4220</v>
      </c>
      <c r="C67" s="120">
        <f>1955+1897</f>
        <v>3852</v>
      </c>
      <c r="D67" s="120">
        <f>2020+2343+1084</f>
        <v>5447</v>
      </c>
      <c r="E67" s="120">
        <f>2103+2556+1155</f>
        <v>5814</v>
      </c>
      <c r="F67" s="120">
        <f>1268+2604+2236</f>
        <v>6108</v>
      </c>
      <c r="G67" s="120">
        <f>1735+3107+1411</f>
        <v>6253</v>
      </c>
      <c r="H67" s="120">
        <f>-400-1361+8146</f>
        <v>6385</v>
      </c>
      <c r="I67" s="120">
        <f>8450-404-1252</f>
        <v>6794</v>
      </c>
      <c r="J67" s="120">
        <f>8737-1264-696</f>
        <v>6777</v>
      </c>
      <c r="K67" s="120">
        <f>9017-(1201+521)</f>
        <v>7295</v>
      </c>
      <c r="L67" s="120">
        <f>10201-(1280+522)</f>
        <v>8399</v>
      </c>
      <c r="M67" s="120">
        <f>10556-(520+1253)</f>
        <v>8783</v>
      </c>
      <c r="N67" s="120">
        <f>10663-(1321+527)</f>
        <v>8815</v>
      </c>
      <c r="O67" s="120">
        <f>11931-(1374+436)</f>
        <v>10121</v>
      </c>
      <c r="P67" s="137">
        <f>12163</f>
        <v>12163</v>
      </c>
      <c r="Q67" s="120">
        <f>12356-(1547+725)</f>
        <v>10084</v>
      </c>
      <c r="R67" s="120">
        <v>10342</v>
      </c>
      <c r="S67" s="123">
        <f>10516</f>
        <v>10516</v>
      </c>
    </row>
    <row r="68" spans="1:19" ht="12.75">
      <c r="A68" s="117" t="s">
        <v>41</v>
      </c>
      <c r="B68" s="121">
        <f>1240</f>
        <v>1240</v>
      </c>
      <c r="C68" s="121">
        <f>479</f>
        <v>479</v>
      </c>
      <c r="D68" s="121">
        <f>1563+390</f>
        <v>1953</v>
      </c>
      <c r="E68" s="121">
        <f>2137+443</f>
        <v>2580</v>
      </c>
      <c r="F68" s="121">
        <f>3563</f>
        <v>3563</v>
      </c>
      <c r="G68" s="121">
        <f>3916</f>
        <v>3916</v>
      </c>
      <c r="H68" s="119">
        <v>6934</v>
      </c>
      <c r="I68" s="119">
        <f>7149</f>
        <v>7149</v>
      </c>
      <c r="J68" s="119">
        <f>6834</f>
        <v>6834</v>
      </c>
      <c r="K68" s="119">
        <f>7199</f>
        <v>7199</v>
      </c>
      <c r="L68" s="119">
        <f>7056</f>
        <v>7056</v>
      </c>
      <c r="M68" s="119">
        <f>8607</f>
        <v>8607</v>
      </c>
      <c r="N68" s="119">
        <f>8855</f>
        <v>8855</v>
      </c>
      <c r="O68" s="119">
        <f>9201</f>
        <v>9201</v>
      </c>
      <c r="P68" s="119">
        <f>9786</f>
        <v>9786</v>
      </c>
      <c r="Q68" s="119">
        <f>10198</f>
        <v>10198</v>
      </c>
      <c r="R68" s="119">
        <v>11006</v>
      </c>
      <c r="S68" s="122">
        <f>9557</f>
        <v>9557</v>
      </c>
    </row>
    <row r="69" spans="1:19" ht="25.5">
      <c r="A69" s="61" t="s">
        <v>4</v>
      </c>
      <c r="B69" s="9">
        <f>82797-SUM(B62:B68)</f>
        <v>6674</v>
      </c>
      <c r="C69" s="9">
        <f>83243-SUM(C62:C68)</f>
        <v>7398</v>
      </c>
      <c r="D69" s="9">
        <f>82111-SUM(D62:D68)</f>
        <v>3457</v>
      </c>
      <c r="E69" s="9">
        <f>80883-SUM(E62:E68)</f>
        <v>2859</v>
      </c>
      <c r="F69" s="9">
        <f>86444-SUM(F62:F68)</f>
        <v>2259</v>
      </c>
      <c r="G69" s="9">
        <f>86281-SUM(G62:G68)</f>
        <v>2784</v>
      </c>
      <c r="H69" s="9">
        <f>93733-SUM(H62:H68)</f>
        <v>6554</v>
      </c>
      <c r="I69" s="9">
        <f>94516-SUM(I62:I68)</f>
        <v>819</v>
      </c>
      <c r="J69" s="9">
        <f>96223-SUM(J62:J68)</f>
        <v>2253</v>
      </c>
      <c r="K69" s="9">
        <f>95719-SUM(K62:K68)</f>
        <v>3162</v>
      </c>
      <c r="L69" s="9">
        <f>106996-SUM(L62:L68)</f>
        <v>3513</v>
      </c>
      <c r="M69" s="9">
        <f>110723-SUM(M62:M68)</f>
        <v>4685</v>
      </c>
      <c r="N69" s="9">
        <f>108478-SUM(N62:N68)</f>
        <v>4273</v>
      </c>
      <c r="O69" s="9">
        <f>116829-SUM(O62:O68)</f>
        <v>4787</v>
      </c>
      <c r="P69" s="9">
        <f>122282-SUM(P62:P68)</f>
        <v>1235</v>
      </c>
      <c r="Q69" s="9">
        <f>133359-SUM(Q62:Q68)</f>
        <v>2742</v>
      </c>
      <c r="R69" s="9">
        <f>168672-SUM(R62:R68)</f>
        <v>6882</v>
      </c>
      <c r="S69" s="8">
        <f>173349-SUM(S62:S68)</f>
        <v>7223</v>
      </c>
    </row>
    <row r="70" spans="1:19" ht="12.75">
      <c r="A70" s="61" t="s">
        <v>3</v>
      </c>
      <c r="B70" s="9">
        <f>B72-82797</f>
        <v>20081</v>
      </c>
      <c r="C70" s="9">
        <f>C72-83243</f>
        <v>24158</v>
      </c>
      <c r="D70" s="9">
        <f>D72-82111</f>
        <v>17366</v>
      </c>
      <c r="E70" s="9">
        <f>E72-80883</f>
        <v>17897</v>
      </c>
      <c r="F70" s="9">
        <f>F72-86444</f>
        <v>21832</v>
      </c>
      <c r="G70" s="9">
        <f>G72-86281</f>
        <v>33624</v>
      </c>
      <c r="H70" s="9">
        <f>H72-92773</f>
        <v>32445</v>
      </c>
      <c r="I70" s="9">
        <f>I72-94516</f>
        <v>36616</v>
      </c>
      <c r="J70" s="9">
        <f>J72-96223</f>
        <v>31664</v>
      </c>
      <c r="K70" s="9">
        <f>K72-95719</f>
        <v>29988</v>
      </c>
      <c r="L70" s="9">
        <f>L72-106996</f>
        <v>30666</v>
      </c>
      <c r="M70" s="9">
        <f>M72-110723</f>
        <v>31802</v>
      </c>
      <c r="N70" s="9">
        <f>N72-108478</f>
        <v>34747</v>
      </c>
      <c r="O70" s="9">
        <f>O72-116829</f>
        <v>34336</v>
      </c>
      <c r="P70" s="9">
        <f>P72-122282</f>
        <v>41672</v>
      </c>
      <c r="Q70" s="9">
        <f>Q72-133359</f>
        <v>42917</v>
      </c>
      <c r="R70" s="9">
        <f>R72-168672</f>
        <v>22837</v>
      </c>
      <c r="S70" s="8">
        <f>S72-173349</f>
        <v>30917</v>
      </c>
    </row>
    <row r="71" spans="1:19" ht="38.25">
      <c r="A71" s="47" t="s">
        <v>2</v>
      </c>
      <c r="B71" s="74">
        <f aca="true" t="shared" si="23" ref="B71:S71">B72-SUM(B62:B68)</f>
        <v>26755</v>
      </c>
      <c r="C71" s="74">
        <f t="shared" si="23"/>
        <v>31556</v>
      </c>
      <c r="D71" s="74">
        <f t="shared" si="23"/>
        <v>20823</v>
      </c>
      <c r="E71" s="74">
        <f t="shared" si="23"/>
        <v>20756</v>
      </c>
      <c r="F71" s="74">
        <f t="shared" si="23"/>
        <v>24091</v>
      </c>
      <c r="G71" s="74">
        <f t="shared" si="23"/>
        <v>36408</v>
      </c>
      <c r="H71" s="74">
        <f t="shared" si="23"/>
        <v>38039</v>
      </c>
      <c r="I71" s="74">
        <f t="shared" si="23"/>
        <v>37435</v>
      </c>
      <c r="J71" s="74">
        <f t="shared" si="23"/>
        <v>33917</v>
      </c>
      <c r="K71" s="74">
        <f t="shared" si="23"/>
        <v>33150</v>
      </c>
      <c r="L71" s="74">
        <f t="shared" si="23"/>
        <v>34179</v>
      </c>
      <c r="M71" s="74">
        <f t="shared" si="23"/>
        <v>36487</v>
      </c>
      <c r="N71" s="74">
        <f t="shared" si="23"/>
        <v>39020</v>
      </c>
      <c r="O71" s="74">
        <f t="shared" si="23"/>
        <v>39123</v>
      </c>
      <c r="P71" s="74">
        <f t="shared" si="23"/>
        <v>42907</v>
      </c>
      <c r="Q71" s="74">
        <f t="shared" si="23"/>
        <v>45659</v>
      </c>
      <c r="R71" s="74">
        <f t="shared" si="23"/>
        <v>29719</v>
      </c>
      <c r="S71" s="75">
        <f t="shared" si="23"/>
        <v>38140</v>
      </c>
    </row>
    <row r="72" spans="1:19" ht="12.75">
      <c r="A72" s="57" t="s">
        <v>1</v>
      </c>
      <c r="B72" s="7">
        <v>102878</v>
      </c>
      <c r="C72" s="7">
        <v>107401</v>
      </c>
      <c r="D72" s="7">
        <v>99477</v>
      </c>
      <c r="E72" s="7">
        <v>98780</v>
      </c>
      <c r="F72" s="7">
        <v>108276</v>
      </c>
      <c r="G72" s="7">
        <v>119905</v>
      </c>
      <c r="H72" s="7">
        <v>125218</v>
      </c>
      <c r="I72" s="7">
        <v>131132</v>
      </c>
      <c r="J72" s="7">
        <v>127887</v>
      </c>
      <c r="K72" s="7">
        <v>125707</v>
      </c>
      <c r="L72" s="7">
        <v>137662</v>
      </c>
      <c r="M72" s="7">
        <v>142525</v>
      </c>
      <c r="N72" s="7">
        <v>143225</v>
      </c>
      <c r="O72" s="7">
        <v>151165</v>
      </c>
      <c r="P72" s="7">
        <v>163954</v>
      </c>
      <c r="Q72" s="7">
        <v>176276</v>
      </c>
      <c r="R72" s="7">
        <v>191509</v>
      </c>
      <c r="S72" s="6">
        <v>204266</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284740</v>
      </c>
      <c r="C74" s="4">
        <v>282363</v>
      </c>
      <c r="D74" s="4">
        <v>336044</v>
      </c>
      <c r="E74" s="4">
        <v>324424</v>
      </c>
      <c r="F74" s="4">
        <v>326294</v>
      </c>
      <c r="G74" s="4">
        <v>336462</v>
      </c>
      <c r="H74" s="4">
        <v>344049</v>
      </c>
      <c r="I74" s="4">
        <f>346900</f>
        <v>346900</v>
      </c>
      <c r="J74" s="4">
        <v>353295</v>
      </c>
      <c r="K74" s="4">
        <f>429263</f>
        <v>429263</v>
      </c>
      <c r="L74" s="4">
        <v>435362</v>
      </c>
      <c r="M74" s="4">
        <f>465183</f>
        <v>465183</v>
      </c>
      <c r="N74" s="4">
        <v>505176</v>
      </c>
      <c r="O74" s="4">
        <v>633506</v>
      </c>
      <c r="P74" s="4">
        <v>624444</v>
      </c>
      <c r="Q74" s="4">
        <v>639207</v>
      </c>
      <c r="R74" s="4">
        <v>750238</v>
      </c>
      <c r="S74" s="3">
        <v>773529</v>
      </c>
    </row>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pane xSplit="1" ySplit="2" topLeftCell="B3" activePane="bottomRight" state="frozen"/>
      <selection pane="topLeft" activeCell="H29" sqref="H29"/>
      <selection pane="topRight" activeCell="H29" sqref="H29"/>
      <selection pane="bottomLeft" activeCell="H29" sqref="H29"/>
      <selection pane="bottomRight" activeCell="G79" sqref="G79"/>
    </sheetView>
  </sheetViews>
  <sheetFormatPr defaultColWidth="9.140625" defaultRowHeight="15" outlineLevelRow="1"/>
  <cols>
    <col min="1" max="1" width="32.421875" style="2" customWidth="1"/>
    <col min="2" max="3" width="9.140625" style="1" customWidth="1"/>
    <col min="4" max="4" width="9.57421875" style="1" bestFit="1" customWidth="1"/>
    <col min="5" max="6" width="9.140625" style="1" customWidth="1"/>
    <col min="7" max="7" width="9.57421875" style="1" bestFit="1" customWidth="1"/>
    <col min="8" max="16384" width="9.140625" style="1" customWidth="1"/>
  </cols>
  <sheetData>
    <row r="1" spans="1:19" ht="12.75">
      <c r="A1" s="21"/>
      <c r="B1" s="490" t="s">
        <v>71</v>
      </c>
      <c r="C1" s="491"/>
      <c r="D1" s="491"/>
      <c r="E1" s="491"/>
      <c r="F1" s="491"/>
      <c r="G1" s="491"/>
      <c r="H1" s="491"/>
      <c r="I1" s="491"/>
      <c r="J1" s="491"/>
      <c r="K1" s="491"/>
      <c r="L1" s="491"/>
      <c r="M1" s="491"/>
      <c r="N1" s="491"/>
      <c r="O1" s="491"/>
      <c r="P1" s="491"/>
      <c r="Q1" s="491"/>
      <c r="R1" s="491"/>
      <c r="S1" s="492"/>
    </row>
    <row r="2" spans="1:19" ht="12.75">
      <c r="A2" s="43"/>
      <c r="B2" s="84">
        <v>1991</v>
      </c>
      <c r="C2" s="88">
        <v>1992</v>
      </c>
      <c r="D2" s="88">
        <v>1993</v>
      </c>
      <c r="E2" s="88">
        <v>1994</v>
      </c>
      <c r="F2" s="88">
        <v>1995</v>
      </c>
      <c r="G2" s="88">
        <v>1996</v>
      </c>
      <c r="H2" s="44">
        <v>1997</v>
      </c>
      <c r="I2" s="44">
        <v>1998</v>
      </c>
      <c r="J2" s="88">
        <v>1999</v>
      </c>
      <c r="K2" s="44">
        <v>2000</v>
      </c>
      <c r="L2" s="44">
        <v>2001</v>
      </c>
      <c r="M2" s="88">
        <v>2002</v>
      </c>
      <c r="N2" s="44">
        <v>2003</v>
      </c>
      <c r="O2" s="44">
        <v>2004</v>
      </c>
      <c r="P2" s="44">
        <v>2005</v>
      </c>
      <c r="Q2" s="44">
        <v>2006</v>
      </c>
      <c r="R2" s="44">
        <v>2007</v>
      </c>
      <c r="S2" s="116">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v>1394</v>
      </c>
      <c r="C5" s="2">
        <v>1300</v>
      </c>
      <c r="D5" s="2">
        <v>1269</v>
      </c>
      <c r="E5" s="2">
        <v>1288</v>
      </c>
      <c r="F5" s="2">
        <v>1271</v>
      </c>
      <c r="G5" s="2">
        <v>1406</v>
      </c>
      <c r="H5" s="2">
        <v>1774</v>
      </c>
      <c r="I5" s="2">
        <v>1700</v>
      </c>
      <c r="J5" s="2">
        <v>1706</v>
      </c>
      <c r="K5" s="2">
        <v>1706</v>
      </c>
      <c r="L5" s="2">
        <v>1698</v>
      </c>
      <c r="M5" s="2">
        <v>1664</v>
      </c>
      <c r="N5" s="2">
        <v>1787</v>
      </c>
      <c r="O5" s="2">
        <f>1817</f>
        <v>1817</v>
      </c>
      <c r="P5" s="2">
        <v>1830</v>
      </c>
      <c r="Q5" s="2">
        <v>1819</v>
      </c>
      <c r="R5" s="2">
        <v>1839</v>
      </c>
      <c r="S5" s="5">
        <v>1853</v>
      </c>
    </row>
    <row r="6" spans="1:19" ht="12.75">
      <c r="A6" s="47" t="s">
        <v>28</v>
      </c>
      <c r="B6" s="2"/>
      <c r="C6" s="2"/>
      <c r="D6" s="2"/>
      <c r="E6" s="2"/>
      <c r="F6" s="2"/>
      <c r="G6" s="2"/>
      <c r="H6" s="2"/>
      <c r="I6" s="2"/>
      <c r="J6" s="2"/>
      <c r="K6" s="2"/>
      <c r="L6" s="2"/>
      <c r="M6" s="2"/>
      <c r="N6" s="2"/>
      <c r="O6" s="2"/>
      <c r="P6" s="2"/>
      <c r="Q6" s="2"/>
      <c r="R6" s="2"/>
      <c r="S6" s="5"/>
    </row>
    <row r="7" spans="1:19" ht="12.75">
      <c r="A7" s="47" t="s">
        <v>27</v>
      </c>
      <c r="B7" s="2">
        <f aca="true" t="shared" si="0" ref="B7:S7">B18</f>
        <v>0</v>
      </c>
      <c r="C7" s="2">
        <f t="shared" si="0"/>
        <v>0</v>
      </c>
      <c r="D7" s="2">
        <f t="shared" si="0"/>
        <v>0</v>
      </c>
      <c r="E7" s="2">
        <f t="shared" si="0"/>
        <v>0</v>
      </c>
      <c r="F7" s="2">
        <f t="shared" si="0"/>
        <v>0</v>
      </c>
      <c r="G7" s="2">
        <f t="shared" si="0"/>
        <v>0</v>
      </c>
      <c r="H7" s="2">
        <f t="shared" si="0"/>
        <v>0</v>
      </c>
      <c r="I7" s="2">
        <f t="shared" si="0"/>
        <v>0</v>
      </c>
      <c r="J7" s="2">
        <f t="shared" si="0"/>
        <v>0</v>
      </c>
      <c r="K7" s="2">
        <f t="shared" si="0"/>
        <v>0</v>
      </c>
      <c r="L7" s="2">
        <f t="shared" si="0"/>
        <v>0</v>
      </c>
      <c r="M7" s="2">
        <f t="shared" si="0"/>
        <v>0</v>
      </c>
      <c r="N7" s="2">
        <f t="shared" si="0"/>
        <v>0</v>
      </c>
      <c r="O7" s="2">
        <f t="shared" si="0"/>
        <v>0</v>
      </c>
      <c r="P7" s="2">
        <f t="shared" si="0"/>
        <v>0</v>
      </c>
      <c r="Q7" s="2">
        <f t="shared" si="0"/>
        <v>0</v>
      </c>
      <c r="R7" s="2">
        <f t="shared" si="0"/>
        <v>0</v>
      </c>
      <c r="S7" s="5">
        <f t="shared" si="0"/>
        <v>0</v>
      </c>
    </row>
    <row r="8" spans="1:19" ht="12.75">
      <c r="A8" s="47" t="s">
        <v>26</v>
      </c>
      <c r="B8" s="2">
        <f aca="true" t="shared" si="1" ref="B8:S8">B24</f>
        <v>0</v>
      </c>
      <c r="C8" s="2">
        <f t="shared" si="1"/>
        <v>0</v>
      </c>
      <c r="D8" s="2">
        <f t="shared" si="1"/>
        <v>0</v>
      </c>
      <c r="E8" s="2">
        <f t="shared" si="1"/>
        <v>0</v>
      </c>
      <c r="F8" s="2">
        <f t="shared" si="1"/>
        <v>0</v>
      </c>
      <c r="G8" s="2">
        <f t="shared" si="1"/>
        <v>0</v>
      </c>
      <c r="H8" s="2">
        <f t="shared" si="1"/>
        <v>0</v>
      </c>
      <c r="I8" s="2">
        <f t="shared" si="1"/>
        <v>0</v>
      </c>
      <c r="J8" s="2">
        <f t="shared" si="1"/>
        <v>0</v>
      </c>
      <c r="K8" s="2">
        <f t="shared" si="1"/>
        <v>0</v>
      </c>
      <c r="L8" s="2">
        <f t="shared" si="1"/>
        <v>0</v>
      </c>
      <c r="M8" s="2">
        <f t="shared" si="1"/>
        <v>0</v>
      </c>
      <c r="N8" s="2">
        <f t="shared" si="1"/>
        <v>0</v>
      </c>
      <c r="O8" s="2">
        <f t="shared" si="1"/>
        <v>0</v>
      </c>
      <c r="P8" s="2">
        <f t="shared" si="1"/>
        <v>0</v>
      </c>
      <c r="Q8" s="2">
        <f t="shared" si="1"/>
        <v>0</v>
      </c>
      <c r="R8" s="2">
        <f t="shared" si="1"/>
        <v>0</v>
      </c>
      <c r="S8" s="5">
        <f t="shared" si="1"/>
        <v>0</v>
      </c>
    </row>
    <row r="9" spans="1:19" ht="12.75">
      <c r="A9" s="59" t="s">
        <v>35</v>
      </c>
      <c r="B9" s="78">
        <f aca="true" t="shared" si="2" ref="B9:S9">B36</f>
        <v>0</v>
      </c>
      <c r="C9" s="78">
        <f t="shared" si="2"/>
        <v>0</v>
      </c>
      <c r="D9" s="78">
        <f t="shared" si="2"/>
        <v>0</v>
      </c>
      <c r="E9" s="78">
        <f t="shared" si="2"/>
        <v>0</v>
      </c>
      <c r="F9" s="13">
        <f t="shared" si="2"/>
        <v>0</v>
      </c>
      <c r="G9" s="13">
        <f t="shared" si="2"/>
        <v>0</v>
      </c>
      <c r="H9" s="13">
        <f t="shared" si="2"/>
        <v>0</v>
      </c>
      <c r="I9" s="13">
        <f t="shared" si="2"/>
        <v>0</v>
      </c>
      <c r="J9" s="13">
        <f t="shared" si="2"/>
        <v>0</v>
      </c>
      <c r="K9" s="13">
        <f t="shared" si="2"/>
        <v>0</v>
      </c>
      <c r="L9" s="13">
        <f t="shared" si="2"/>
        <v>0</v>
      </c>
      <c r="M9" s="13">
        <f t="shared" si="2"/>
        <v>0</v>
      </c>
      <c r="N9" s="13">
        <f t="shared" si="2"/>
        <v>0</v>
      </c>
      <c r="O9" s="13">
        <f t="shared" si="2"/>
        <v>0</v>
      </c>
      <c r="P9" s="13">
        <f t="shared" si="2"/>
        <v>0</v>
      </c>
      <c r="Q9" s="13">
        <f t="shared" si="2"/>
        <v>0</v>
      </c>
      <c r="R9" s="13">
        <f t="shared" si="2"/>
        <v>486</v>
      </c>
      <c r="S9" s="12">
        <f t="shared" si="2"/>
        <v>584</v>
      </c>
    </row>
    <row r="10" spans="1:19" ht="12.75">
      <c r="A10" s="59" t="s">
        <v>43</v>
      </c>
      <c r="B10" s="78">
        <f aca="true" t="shared" si="3" ref="B10:S10">B48</f>
        <v>0</v>
      </c>
      <c r="C10" s="78">
        <f t="shared" si="3"/>
        <v>0</v>
      </c>
      <c r="D10" s="78">
        <f t="shared" si="3"/>
        <v>0</v>
      </c>
      <c r="E10" s="78">
        <f t="shared" si="3"/>
        <v>0</v>
      </c>
      <c r="F10" s="13">
        <f t="shared" si="3"/>
        <v>0</v>
      </c>
      <c r="G10" s="13">
        <f t="shared" si="3"/>
        <v>0</v>
      </c>
      <c r="H10" s="13">
        <f t="shared" si="3"/>
        <v>0</v>
      </c>
      <c r="I10" s="13">
        <f t="shared" si="3"/>
        <v>0</v>
      </c>
      <c r="J10" s="13">
        <f t="shared" si="3"/>
        <v>0</v>
      </c>
      <c r="K10" s="13">
        <f t="shared" si="3"/>
        <v>0</v>
      </c>
      <c r="L10" s="13">
        <f t="shared" si="3"/>
        <v>0</v>
      </c>
      <c r="M10" s="13">
        <f t="shared" si="3"/>
        <v>0</v>
      </c>
      <c r="N10" s="13">
        <f t="shared" si="3"/>
        <v>0</v>
      </c>
      <c r="O10" s="13">
        <f t="shared" si="3"/>
        <v>0</v>
      </c>
      <c r="P10" s="13">
        <f t="shared" si="3"/>
        <v>0</v>
      </c>
      <c r="Q10" s="13">
        <f t="shared" si="3"/>
        <v>0</v>
      </c>
      <c r="R10" s="13">
        <f t="shared" si="3"/>
        <v>575</v>
      </c>
      <c r="S10" s="12">
        <f t="shared" si="3"/>
        <v>567</v>
      </c>
    </row>
    <row r="11" spans="1:19" ht="12.75">
      <c r="A11" s="59" t="s">
        <v>44</v>
      </c>
      <c r="B11" s="78">
        <f aca="true" t="shared" si="4" ref="B11:S11">B42</f>
        <v>0</v>
      </c>
      <c r="C11" s="78">
        <f t="shared" si="4"/>
        <v>0</v>
      </c>
      <c r="D11" s="78">
        <f t="shared" si="4"/>
        <v>0</v>
      </c>
      <c r="E11" s="78">
        <f t="shared" si="4"/>
        <v>0</v>
      </c>
      <c r="F11" s="13">
        <f t="shared" si="4"/>
        <v>0</v>
      </c>
      <c r="G11" s="13">
        <f t="shared" si="4"/>
        <v>0</v>
      </c>
      <c r="H11" s="13">
        <f t="shared" si="4"/>
        <v>0</v>
      </c>
      <c r="I11" s="13">
        <f t="shared" si="4"/>
        <v>0</v>
      </c>
      <c r="J11" s="13">
        <f t="shared" si="4"/>
        <v>0</v>
      </c>
      <c r="K11" s="13">
        <f t="shared" si="4"/>
        <v>0</v>
      </c>
      <c r="L11" s="13">
        <f t="shared" si="4"/>
        <v>0</v>
      </c>
      <c r="M11" s="13">
        <f t="shared" si="4"/>
        <v>0</v>
      </c>
      <c r="N11" s="13">
        <f t="shared" si="4"/>
        <v>0</v>
      </c>
      <c r="O11" s="13">
        <f t="shared" si="4"/>
        <v>0</v>
      </c>
      <c r="P11" s="13">
        <f t="shared" si="4"/>
        <v>0</v>
      </c>
      <c r="Q11" s="13">
        <f t="shared" si="4"/>
        <v>0</v>
      </c>
      <c r="R11" s="13">
        <f t="shared" si="4"/>
        <v>0</v>
      </c>
      <c r="S11" s="12">
        <f t="shared" si="4"/>
        <v>0</v>
      </c>
    </row>
    <row r="12" spans="1:19" ht="12.75">
      <c r="A12" s="47" t="s">
        <v>25</v>
      </c>
      <c r="B12" s="2">
        <f aca="true" t="shared" si="5" ref="B12:S12">B30</f>
        <v>0</v>
      </c>
      <c r="C12" s="2">
        <f t="shared" si="5"/>
        <v>0</v>
      </c>
      <c r="D12" s="2">
        <f t="shared" si="5"/>
        <v>0</v>
      </c>
      <c r="E12" s="2">
        <f t="shared" si="5"/>
        <v>0</v>
      </c>
      <c r="F12" s="2">
        <f t="shared" si="5"/>
        <v>0</v>
      </c>
      <c r="G12" s="2">
        <f t="shared" si="5"/>
        <v>0</v>
      </c>
      <c r="H12" s="2">
        <f t="shared" si="5"/>
        <v>0</v>
      </c>
      <c r="I12" s="2">
        <f t="shared" si="5"/>
        <v>0</v>
      </c>
      <c r="J12" s="2">
        <f t="shared" si="5"/>
        <v>0</v>
      </c>
      <c r="K12" s="2">
        <f t="shared" si="5"/>
        <v>0</v>
      </c>
      <c r="L12" s="2">
        <f t="shared" si="5"/>
        <v>0</v>
      </c>
      <c r="M12" s="2">
        <f t="shared" si="5"/>
        <v>0</v>
      </c>
      <c r="N12" s="2">
        <f t="shared" si="5"/>
        <v>0</v>
      </c>
      <c r="O12" s="2">
        <f t="shared" si="5"/>
        <v>0</v>
      </c>
      <c r="P12" s="2">
        <f t="shared" si="5"/>
        <v>0</v>
      </c>
      <c r="Q12" s="2">
        <f t="shared" si="5"/>
        <v>0</v>
      </c>
      <c r="R12" s="2">
        <f t="shared" si="5"/>
        <v>0</v>
      </c>
      <c r="S12" s="5">
        <f t="shared" si="5"/>
        <v>0</v>
      </c>
    </row>
    <row r="13" spans="1:19" ht="12.75">
      <c r="A13" s="46" t="s">
        <v>24</v>
      </c>
      <c r="B13" s="42">
        <v>213</v>
      </c>
      <c r="C13" s="42">
        <v>236</v>
      </c>
      <c r="D13" s="42"/>
      <c r="E13" s="42"/>
      <c r="F13" s="42"/>
      <c r="G13" s="42"/>
      <c r="H13" s="42"/>
      <c r="I13" s="42"/>
      <c r="J13" s="42"/>
      <c r="K13" s="42"/>
      <c r="L13" s="42"/>
      <c r="M13" s="42"/>
      <c r="N13" s="42"/>
      <c r="O13" s="42"/>
      <c r="P13" s="42"/>
      <c r="Q13" s="42"/>
      <c r="R13" s="42">
        <f>R15-R5-R14</f>
        <v>1034</v>
      </c>
      <c r="S13" s="28">
        <f>S15-S5-S14</f>
        <v>1119</v>
      </c>
    </row>
    <row r="14" spans="1:19" ht="12.75">
      <c r="A14" s="47" t="s">
        <v>23</v>
      </c>
      <c r="B14" s="2"/>
      <c r="C14" s="2"/>
      <c r="D14" s="2"/>
      <c r="E14" s="2"/>
      <c r="F14" s="2"/>
      <c r="G14" s="2"/>
      <c r="H14" s="2"/>
      <c r="I14" s="2">
        <v>85</v>
      </c>
      <c r="J14" s="2">
        <v>100</v>
      </c>
      <c r="K14" s="2">
        <v>56</v>
      </c>
      <c r="L14" s="2">
        <v>69</v>
      </c>
      <c r="M14" s="2">
        <v>70</v>
      </c>
      <c r="N14" s="2">
        <v>58</v>
      </c>
      <c r="O14" s="2">
        <v>66</v>
      </c>
      <c r="P14" s="2">
        <v>72</v>
      </c>
      <c r="Q14" s="2">
        <v>80</v>
      </c>
      <c r="R14" s="2">
        <v>63</v>
      </c>
      <c r="S14" s="5">
        <v>57</v>
      </c>
    </row>
    <row r="15" spans="1:19" ht="12.75">
      <c r="A15" s="48" t="s">
        <v>22</v>
      </c>
      <c r="B15" s="17">
        <f>SUM(B5,B13:B14)</f>
        <v>1607</v>
      </c>
      <c r="C15" s="17">
        <f aca="true" t="shared" si="6" ref="C15:H15">SUM(C5,C13:C14)</f>
        <v>1536</v>
      </c>
      <c r="D15" s="17">
        <f t="shared" si="6"/>
        <v>1269</v>
      </c>
      <c r="E15" s="17">
        <f t="shared" si="6"/>
        <v>1288</v>
      </c>
      <c r="F15" s="17">
        <f t="shared" si="6"/>
        <v>1271</v>
      </c>
      <c r="G15" s="17">
        <f t="shared" si="6"/>
        <v>1406</v>
      </c>
      <c r="H15" s="17">
        <f t="shared" si="6"/>
        <v>1774</v>
      </c>
      <c r="I15" s="114">
        <f>SUM(I5,I14,I13)</f>
        <v>1785</v>
      </c>
      <c r="J15" s="114">
        <f>SUM(J5,J14,J13)</f>
        <v>1806</v>
      </c>
      <c r="K15" s="114">
        <f>SUM(K5,K14,K13)</f>
        <v>1762</v>
      </c>
      <c r="L15" s="114">
        <f>SUM(L5,L14,L13)</f>
        <v>1767</v>
      </c>
      <c r="M15" s="114">
        <f>SUM(M5,M14,M13)</f>
        <v>1734</v>
      </c>
      <c r="N15" s="114">
        <f>SUM(N14,N13,N5)</f>
        <v>1845</v>
      </c>
      <c r="O15" s="114">
        <f>SUM(O14,O13,O5)</f>
        <v>1883</v>
      </c>
      <c r="P15" s="114">
        <f>SUM(P14,P13,P5)</f>
        <v>1902</v>
      </c>
      <c r="Q15" s="114">
        <f>SUM(Q14,Q13,Q5)</f>
        <v>1899</v>
      </c>
      <c r="R15" s="114">
        <v>2936</v>
      </c>
      <c r="S15" s="115">
        <v>3029</v>
      </c>
    </row>
    <row r="16" spans="1:19" ht="12.75">
      <c r="A16" s="5"/>
      <c r="B16" s="42"/>
      <c r="C16" s="42"/>
      <c r="D16" s="42"/>
      <c r="E16" s="42"/>
      <c r="F16" s="42"/>
      <c r="G16" s="42"/>
      <c r="H16" s="42"/>
      <c r="I16" s="42"/>
      <c r="J16" s="42"/>
      <c r="K16" s="42"/>
      <c r="L16" s="42"/>
      <c r="M16" s="42"/>
      <c r="N16" s="42"/>
      <c r="O16" s="42"/>
      <c r="P16" s="42"/>
      <c r="Q16" s="42"/>
      <c r="R16" s="42"/>
      <c r="S16" s="28"/>
    </row>
    <row r="17" spans="1:19" ht="12.75" hidden="1" outlineLevel="1">
      <c r="A17" s="41" t="s">
        <v>21</v>
      </c>
      <c r="B17" s="40"/>
      <c r="C17" s="40"/>
      <c r="D17" s="40"/>
      <c r="E17" s="40"/>
      <c r="F17" s="40"/>
      <c r="G17" s="40"/>
      <c r="H17" s="40"/>
      <c r="I17" s="40"/>
      <c r="J17" s="40"/>
      <c r="K17" s="40"/>
      <c r="L17" s="40"/>
      <c r="M17" s="40"/>
      <c r="N17" s="40"/>
      <c r="O17" s="40"/>
      <c r="P17" s="40"/>
      <c r="Q17" s="40"/>
      <c r="R17" s="40"/>
      <c r="S17" s="39"/>
    </row>
    <row r="18" spans="1:19" ht="12.75" hidden="1" outlineLevel="1">
      <c r="A18" s="47" t="s">
        <v>12</v>
      </c>
      <c r="B18" s="30"/>
      <c r="C18" s="30"/>
      <c r="D18" s="30"/>
      <c r="E18" s="30"/>
      <c r="F18" s="30"/>
      <c r="G18" s="30"/>
      <c r="H18" s="30"/>
      <c r="I18" s="30"/>
      <c r="J18" s="30"/>
      <c r="K18" s="30"/>
      <c r="L18" s="30"/>
      <c r="M18" s="30"/>
      <c r="N18" s="30"/>
      <c r="O18" s="30"/>
      <c r="P18" s="30"/>
      <c r="Q18" s="30"/>
      <c r="R18" s="30"/>
      <c r="S18" s="5"/>
    </row>
    <row r="19" spans="1:19" ht="25.5" hidden="1" outlineLevel="1">
      <c r="A19" s="47" t="s">
        <v>16</v>
      </c>
      <c r="B19" s="30"/>
      <c r="C19" s="30"/>
      <c r="D19" s="30"/>
      <c r="E19" s="30"/>
      <c r="F19" s="30"/>
      <c r="G19" s="30"/>
      <c r="H19" s="30"/>
      <c r="I19" s="30"/>
      <c r="J19" s="30"/>
      <c r="K19" s="30"/>
      <c r="L19" s="30"/>
      <c r="M19" s="30"/>
      <c r="N19" s="30"/>
      <c r="O19" s="30"/>
      <c r="P19" s="30"/>
      <c r="Q19" s="30"/>
      <c r="R19" s="30"/>
      <c r="S19" s="5"/>
    </row>
    <row r="20" spans="1:19" ht="12.75" hidden="1" outlineLevel="1">
      <c r="A20" s="46" t="s">
        <v>20</v>
      </c>
      <c r="B20" s="29">
        <f aca="true" t="shared" si="7" ref="B20:S20">SUM(B18:B19)</f>
        <v>0</v>
      </c>
      <c r="C20" s="29">
        <f t="shared" si="7"/>
        <v>0</v>
      </c>
      <c r="D20" s="29">
        <f t="shared" si="7"/>
        <v>0</v>
      </c>
      <c r="E20" s="29">
        <f t="shared" si="7"/>
        <v>0</v>
      </c>
      <c r="F20" s="29">
        <f t="shared" si="7"/>
        <v>0</v>
      </c>
      <c r="G20" s="29">
        <f t="shared" si="7"/>
        <v>0</v>
      </c>
      <c r="H20" s="29">
        <f t="shared" si="7"/>
        <v>0</v>
      </c>
      <c r="I20" s="29">
        <f t="shared" si="7"/>
        <v>0</v>
      </c>
      <c r="J20" s="29">
        <f t="shared" si="7"/>
        <v>0</v>
      </c>
      <c r="K20" s="29">
        <f t="shared" si="7"/>
        <v>0</v>
      </c>
      <c r="L20" s="29">
        <f t="shared" si="7"/>
        <v>0</v>
      </c>
      <c r="M20" s="29">
        <f t="shared" si="7"/>
        <v>0</v>
      </c>
      <c r="N20" s="29">
        <f t="shared" si="7"/>
        <v>0</v>
      </c>
      <c r="O20" s="29">
        <f t="shared" si="7"/>
        <v>0</v>
      </c>
      <c r="P20" s="29">
        <f t="shared" si="7"/>
        <v>0</v>
      </c>
      <c r="Q20" s="29">
        <f t="shared" si="7"/>
        <v>0</v>
      </c>
      <c r="R20" s="29">
        <f t="shared" si="7"/>
        <v>0</v>
      </c>
      <c r="S20" s="28">
        <f t="shared" si="7"/>
        <v>0</v>
      </c>
    </row>
    <row r="21" spans="1:19" ht="12.75" hidden="1" outlineLevel="1">
      <c r="A21" s="49" t="s">
        <v>14</v>
      </c>
      <c r="B21" s="27"/>
      <c r="C21" s="27"/>
      <c r="D21" s="27"/>
      <c r="E21" s="27"/>
      <c r="F21" s="27"/>
      <c r="G21" s="27"/>
      <c r="H21" s="27"/>
      <c r="I21" s="27"/>
      <c r="J21" s="27"/>
      <c r="K21" s="27"/>
      <c r="L21" s="27"/>
      <c r="M21" s="27"/>
      <c r="N21" s="27"/>
      <c r="O21" s="27"/>
      <c r="P21" s="27"/>
      <c r="Q21" s="27"/>
      <c r="R21" s="27"/>
      <c r="S21" s="26"/>
    </row>
    <row r="22" spans="1:19" ht="12.75" hidden="1" outlineLevel="1">
      <c r="A22" s="5"/>
      <c r="B22" s="42"/>
      <c r="C22" s="42"/>
      <c r="D22" s="42"/>
      <c r="E22" s="42"/>
      <c r="F22" s="42"/>
      <c r="G22" s="42"/>
      <c r="H22" s="42"/>
      <c r="I22" s="42"/>
      <c r="J22" s="42"/>
      <c r="K22" s="42"/>
      <c r="L22" s="42"/>
      <c r="M22" s="42"/>
      <c r="N22" s="42"/>
      <c r="O22" s="42"/>
      <c r="P22" s="42"/>
      <c r="Q22" s="42"/>
      <c r="R22" s="42"/>
      <c r="S22" s="28"/>
    </row>
    <row r="23" spans="1:19" ht="12.75" hidden="1" outlineLevel="1">
      <c r="A23" s="38" t="s">
        <v>19</v>
      </c>
      <c r="B23" s="37"/>
      <c r="C23" s="37"/>
      <c r="D23" s="37"/>
      <c r="E23" s="37"/>
      <c r="F23" s="37"/>
      <c r="G23" s="37"/>
      <c r="H23" s="37"/>
      <c r="I23" s="37"/>
      <c r="J23" s="37"/>
      <c r="K23" s="37"/>
      <c r="L23" s="37"/>
      <c r="M23" s="37"/>
      <c r="N23" s="37"/>
      <c r="O23" s="37"/>
      <c r="P23" s="37"/>
      <c r="Q23" s="37"/>
      <c r="R23" s="37"/>
      <c r="S23" s="36"/>
    </row>
    <row r="24" spans="1:19" ht="12.75" hidden="1" outlineLevel="1">
      <c r="A24" s="47" t="s">
        <v>12</v>
      </c>
      <c r="B24" s="30"/>
      <c r="C24" s="30"/>
      <c r="D24" s="30"/>
      <c r="E24" s="30"/>
      <c r="F24" s="30"/>
      <c r="G24" s="30"/>
      <c r="H24" s="30"/>
      <c r="I24" s="30"/>
      <c r="J24" s="30"/>
      <c r="K24" s="30"/>
      <c r="L24" s="30"/>
      <c r="M24" s="30"/>
      <c r="N24" s="30"/>
      <c r="O24" s="30"/>
      <c r="P24" s="30"/>
      <c r="Q24" s="30"/>
      <c r="R24" s="30"/>
      <c r="S24" s="5"/>
    </row>
    <row r="25" spans="1:19" ht="25.5" hidden="1" outlineLevel="1">
      <c r="A25" s="47" t="s">
        <v>16</v>
      </c>
      <c r="B25" s="30"/>
      <c r="C25" s="30"/>
      <c r="D25" s="30"/>
      <c r="E25" s="30"/>
      <c r="F25" s="30"/>
      <c r="G25" s="30"/>
      <c r="H25" s="30"/>
      <c r="I25" s="30"/>
      <c r="J25" s="30"/>
      <c r="K25" s="30"/>
      <c r="L25" s="30"/>
      <c r="M25" s="30"/>
      <c r="N25" s="30"/>
      <c r="O25" s="30"/>
      <c r="P25" s="30"/>
      <c r="Q25" s="30"/>
      <c r="R25" s="30"/>
      <c r="S25" s="5"/>
    </row>
    <row r="26" spans="1:19" ht="12.75" hidden="1" outlineLevel="1">
      <c r="A26" s="46" t="s">
        <v>18</v>
      </c>
      <c r="B26" s="29">
        <f aca="true" t="shared" si="8" ref="B26:S26">SUM(B24:B25)</f>
        <v>0</v>
      </c>
      <c r="C26" s="29">
        <f t="shared" si="8"/>
        <v>0</v>
      </c>
      <c r="D26" s="29">
        <f t="shared" si="8"/>
        <v>0</v>
      </c>
      <c r="E26" s="29">
        <f t="shared" si="8"/>
        <v>0</v>
      </c>
      <c r="F26" s="29">
        <f t="shared" si="8"/>
        <v>0</v>
      </c>
      <c r="G26" s="29">
        <f t="shared" si="8"/>
        <v>0</v>
      </c>
      <c r="H26" s="29">
        <f t="shared" si="8"/>
        <v>0</v>
      </c>
      <c r="I26" s="29">
        <f t="shared" si="8"/>
        <v>0</v>
      </c>
      <c r="J26" s="29">
        <f t="shared" si="8"/>
        <v>0</v>
      </c>
      <c r="K26" s="29">
        <f t="shared" si="8"/>
        <v>0</v>
      </c>
      <c r="L26" s="29">
        <f t="shared" si="8"/>
        <v>0</v>
      </c>
      <c r="M26" s="29">
        <f t="shared" si="8"/>
        <v>0</v>
      </c>
      <c r="N26" s="29">
        <f t="shared" si="8"/>
        <v>0</v>
      </c>
      <c r="O26" s="29">
        <f t="shared" si="8"/>
        <v>0</v>
      </c>
      <c r="P26" s="29">
        <f t="shared" si="8"/>
        <v>0</v>
      </c>
      <c r="Q26" s="29">
        <f t="shared" si="8"/>
        <v>0</v>
      </c>
      <c r="R26" s="29">
        <f t="shared" si="8"/>
        <v>0</v>
      </c>
      <c r="S26" s="28">
        <f t="shared" si="8"/>
        <v>0</v>
      </c>
    </row>
    <row r="27" spans="1:19" ht="12.75" hidden="1" outlineLevel="1">
      <c r="A27" s="51" t="s">
        <v>14</v>
      </c>
      <c r="B27" s="35"/>
      <c r="C27" s="35"/>
      <c r="D27" s="35"/>
      <c r="E27" s="35"/>
      <c r="F27" s="35"/>
      <c r="G27" s="35"/>
      <c r="H27" s="35"/>
      <c r="I27" s="35"/>
      <c r="J27" s="35"/>
      <c r="K27" s="35"/>
      <c r="L27" s="35"/>
      <c r="M27" s="35"/>
      <c r="N27" s="35"/>
      <c r="O27" s="35"/>
      <c r="P27" s="35"/>
      <c r="Q27" s="35"/>
      <c r="R27" s="35"/>
      <c r="S27" s="34"/>
    </row>
    <row r="28" spans="1:19" ht="12.75" hidden="1" outlineLevel="1">
      <c r="A28" s="5"/>
      <c r="B28" s="42"/>
      <c r="C28" s="42"/>
      <c r="D28" s="42"/>
      <c r="E28" s="42"/>
      <c r="F28" s="42"/>
      <c r="G28" s="42"/>
      <c r="H28" s="42"/>
      <c r="I28" s="42"/>
      <c r="J28" s="42"/>
      <c r="K28" s="42"/>
      <c r="L28" s="42"/>
      <c r="M28" s="42"/>
      <c r="N28" s="42"/>
      <c r="O28" s="42"/>
      <c r="P28" s="42"/>
      <c r="Q28" s="42"/>
      <c r="R28" s="42"/>
      <c r="S28" s="28"/>
    </row>
    <row r="29" spans="1:19" ht="12.75" hidden="1" outlineLevel="1">
      <c r="A29" s="33" t="s">
        <v>17</v>
      </c>
      <c r="B29" s="32"/>
      <c r="C29" s="32"/>
      <c r="D29" s="32"/>
      <c r="E29" s="32"/>
      <c r="F29" s="32"/>
      <c r="G29" s="32"/>
      <c r="H29" s="32"/>
      <c r="I29" s="32"/>
      <c r="J29" s="32"/>
      <c r="K29" s="32"/>
      <c r="L29" s="32"/>
      <c r="M29" s="32"/>
      <c r="N29" s="32"/>
      <c r="O29" s="32"/>
      <c r="P29" s="32"/>
      <c r="Q29" s="32"/>
      <c r="R29" s="32"/>
      <c r="S29" s="31"/>
    </row>
    <row r="30" spans="1:19" ht="12.75" hidden="1" outlineLevel="1">
      <c r="A30" s="47" t="s">
        <v>12</v>
      </c>
      <c r="B30" s="30"/>
      <c r="C30" s="30"/>
      <c r="D30" s="30"/>
      <c r="E30" s="30"/>
      <c r="F30" s="30"/>
      <c r="G30" s="30"/>
      <c r="H30" s="30"/>
      <c r="I30" s="30"/>
      <c r="J30" s="30"/>
      <c r="K30" s="30"/>
      <c r="L30" s="30"/>
      <c r="M30" s="30"/>
      <c r="N30" s="30"/>
      <c r="O30" s="30"/>
      <c r="P30" s="30"/>
      <c r="Q30" s="30"/>
      <c r="R30" s="30"/>
      <c r="S30" s="5"/>
    </row>
    <row r="31" spans="1:19" ht="25.5" hidden="1" outlineLevel="1">
      <c r="A31" s="47" t="s">
        <v>16</v>
      </c>
      <c r="B31" s="30"/>
      <c r="C31" s="30"/>
      <c r="D31" s="30"/>
      <c r="E31" s="30"/>
      <c r="F31" s="30"/>
      <c r="G31" s="30"/>
      <c r="H31" s="30"/>
      <c r="I31" s="30"/>
      <c r="J31" s="30"/>
      <c r="K31" s="30"/>
      <c r="L31" s="30"/>
      <c r="M31" s="30"/>
      <c r="N31" s="30"/>
      <c r="O31" s="30"/>
      <c r="P31" s="30"/>
      <c r="Q31" s="30"/>
      <c r="R31" s="30"/>
      <c r="S31" s="5"/>
    </row>
    <row r="32" spans="1:19" ht="12.75" hidden="1" outlineLevel="1">
      <c r="A32" s="46" t="s">
        <v>15</v>
      </c>
      <c r="B32" s="29">
        <f aca="true" t="shared" si="9" ref="B32:S32">SUM(B30:B31)</f>
        <v>0</v>
      </c>
      <c r="C32" s="29">
        <f t="shared" si="9"/>
        <v>0</v>
      </c>
      <c r="D32" s="29">
        <f t="shared" si="9"/>
        <v>0</v>
      </c>
      <c r="E32" s="29">
        <f t="shared" si="9"/>
        <v>0</v>
      </c>
      <c r="F32" s="29">
        <f t="shared" si="9"/>
        <v>0</v>
      </c>
      <c r="G32" s="29">
        <f t="shared" si="9"/>
        <v>0</v>
      </c>
      <c r="H32" s="29">
        <f t="shared" si="9"/>
        <v>0</v>
      </c>
      <c r="I32" s="29">
        <f t="shared" si="9"/>
        <v>0</v>
      </c>
      <c r="J32" s="29">
        <f t="shared" si="9"/>
        <v>0</v>
      </c>
      <c r="K32" s="29">
        <f t="shared" si="9"/>
        <v>0</v>
      </c>
      <c r="L32" s="29">
        <f t="shared" si="9"/>
        <v>0</v>
      </c>
      <c r="M32" s="29">
        <f t="shared" si="9"/>
        <v>0</v>
      </c>
      <c r="N32" s="29">
        <f t="shared" si="9"/>
        <v>0</v>
      </c>
      <c r="O32" s="29">
        <f t="shared" si="9"/>
        <v>0</v>
      </c>
      <c r="P32" s="29">
        <f t="shared" si="9"/>
        <v>0</v>
      </c>
      <c r="Q32" s="29">
        <f t="shared" si="9"/>
        <v>0</v>
      </c>
      <c r="R32" s="29">
        <f t="shared" si="9"/>
        <v>0</v>
      </c>
      <c r="S32" s="28">
        <f t="shared" si="9"/>
        <v>0</v>
      </c>
    </row>
    <row r="33" spans="1:19" ht="12.75" hidden="1" outlineLevel="1">
      <c r="A33" s="49" t="s">
        <v>14</v>
      </c>
      <c r="B33" s="27"/>
      <c r="C33" s="27"/>
      <c r="D33" s="27"/>
      <c r="E33" s="27"/>
      <c r="F33" s="27"/>
      <c r="G33" s="27"/>
      <c r="H33" s="27"/>
      <c r="I33" s="27"/>
      <c r="J33" s="27"/>
      <c r="K33" s="27"/>
      <c r="L33" s="27"/>
      <c r="M33" s="27"/>
      <c r="N33" s="27"/>
      <c r="O33" s="27"/>
      <c r="P33" s="27"/>
      <c r="Q33" s="27"/>
      <c r="R33" s="27"/>
      <c r="S33" s="26"/>
    </row>
    <row r="34" spans="1:19" ht="12.75" collapsed="1">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c r="C36" s="30"/>
      <c r="D36" s="30"/>
      <c r="E36" s="30"/>
      <c r="F36" s="30"/>
      <c r="G36" s="30"/>
      <c r="H36" s="30"/>
      <c r="I36" s="30"/>
      <c r="J36" s="30"/>
      <c r="K36" s="30"/>
      <c r="L36" s="30"/>
      <c r="M36" s="30"/>
      <c r="N36" s="30"/>
      <c r="O36" s="30"/>
      <c r="P36" s="30"/>
      <c r="Q36" s="30"/>
      <c r="R36" s="30">
        <f>486</f>
        <v>486</v>
      </c>
      <c r="S36" s="5">
        <v>584</v>
      </c>
    </row>
    <row r="37" spans="1:19" ht="25.5">
      <c r="A37" s="47" t="s">
        <v>16</v>
      </c>
      <c r="B37" s="30"/>
      <c r="C37" s="30">
        <f>4+1122</f>
        <v>1126</v>
      </c>
      <c r="D37" s="30">
        <f>7+6+722</f>
        <v>735</v>
      </c>
      <c r="E37" s="30">
        <f>1096</f>
        <v>1096</v>
      </c>
      <c r="F37" s="30">
        <v>986</v>
      </c>
      <c r="G37" s="30">
        <f>1297+12</f>
        <v>1309</v>
      </c>
      <c r="H37" s="30">
        <f>1116-322+16</f>
        <v>810</v>
      </c>
      <c r="I37" s="30">
        <f>414+195</f>
        <v>609</v>
      </c>
      <c r="J37" s="30">
        <f>4+604+201</f>
        <v>809</v>
      </c>
      <c r="K37" s="30">
        <f>566+111+5</f>
        <v>682</v>
      </c>
      <c r="L37" s="30">
        <f>5+598+52</f>
        <v>655</v>
      </c>
      <c r="M37" s="30">
        <f>520+134+5</f>
        <v>659</v>
      </c>
      <c r="N37" s="30">
        <f>5+487+58</f>
        <v>550</v>
      </c>
      <c r="O37" s="30">
        <f>780+77</f>
        <v>857</v>
      </c>
      <c r="P37" s="30">
        <f>125+152+366</f>
        <v>643</v>
      </c>
      <c r="Q37" s="30">
        <f>806+30</f>
        <v>836</v>
      </c>
      <c r="R37" s="30">
        <f>R38-R36</f>
        <v>473</v>
      </c>
      <c r="S37" s="5">
        <f>S38-S36</f>
        <v>344</v>
      </c>
    </row>
    <row r="38" spans="1:19" ht="12.75">
      <c r="A38" s="46" t="s">
        <v>18</v>
      </c>
      <c r="B38" s="29">
        <f aca="true" t="shared" si="10" ref="B38:Q38">SUM(B36:B37)</f>
        <v>0</v>
      </c>
      <c r="C38" s="29">
        <f t="shared" si="10"/>
        <v>1126</v>
      </c>
      <c r="D38" s="29">
        <f t="shared" si="10"/>
        <v>735</v>
      </c>
      <c r="E38" s="29">
        <f t="shared" si="10"/>
        <v>1096</v>
      </c>
      <c r="F38" s="29">
        <f t="shared" si="10"/>
        <v>986</v>
      </c>
      <c r="G38" s="29">
        <f t="shared" si="10"/>
        <v>1309</v>
      </c>
      <c r="H38" s="29">
        <f t="shared" si="10"/>
        <v>810</v>
      </c>
      <c r="I38" s="29">
        <f t="shared" si="10"/>
        <v>609</v>
      </c>
      <c r="J38" s="29">
        <f t="shared" si="10"/>
        <v>809</v>
      </c>
      <c r="K38" s="29">
        <f t="shared" si="10"/>
        <v>682</v>
      </c>
      <c r="L38" s="29">
        <f t="shared" si="10"/>
        <v>655</v>
      </c>
      <c r="M38" s="29">
        <f t="shared" si="10"/>
        <v>659</v>
      </c>
      <c r="N38" s="29">
        <f t="shared" si="10"/>
        <v>550</v>
      </c>
      <c r="O38" s="29">
        <f t="shared" si="10"/>
        <v>857</v>
      </c>
      <c r="P38" s="29">
        <f t="shared" si="10"/>
        <v>643</v>
      </c>
      <c r="Q38" s="29">
        <f t="shared" si="10"/>
        <v>836</v>
      </c>
      <c r="R38" s="29">
        <f>959</f>
        <v>959</v>
      </c>
      <c r="S38" s="28">
        <f>928</f>
        <v>928</v>
      </c>
    </row>
    <row r="39" spans="1:19" ht="12.75">
      <c r="A39" s="51" t="s">
        <v>14</v>
      </c>
      <c r="B39" s="35">
        <f aca="true" t="shared" si="11" ref="B39:S39">B38-B66</f>
        <v>-1641</v>
      </c>
      <c r="C39" s="35">
        <f t="shared" si="11"/>
        <v>-173</v>
      </c>
      <c r="D39" s="35">
        <f t="shared" si="11"/>
        <v>-141</v>
      </c>
      <c r="E39" s="35">
        <f t="shared" si="11"/>
        <v>-186</v>
      </c>
      <c r="F39" s="35">
        <f t="shared" si="11"/>
        <v>249</v>
      </c>
      <c r="G39" s="35">
        <f t="shared" si="11"/>
        <v>27</v>
      </c>
      <c r="H39" s="35">
        <f t="shared" si="11"/>
        <v>292</v>
      </c>
      <c r="I39" s="35">
        <f t="shared" si="11"/>
        <v>71</v>
      </c>
      <c r="J39" s="35">
        <f t="shared" si="11"/>
        <v>-258</v>
      </c>
      <c r="K39" s="35">
        <f t="shared" si="11"/>
        <v>20</v>
      </c>
      <c r="L39" s="35">
        <f t="shared" si="11"/>
        <v>52</v>
      </c>
      <c r="M39" s="35">
        <f t="shared" si="11"/>
        <v>161</v>
      </c>
      <c r="N39" s="35">
        <f t="shared" si="11"/>
        <v>-117</v>
      </c>
      <c r="O39" s="35">
        <f t="shared" si="11"/>
        <v>221</v>
      </c>
      <c r="P39" s="35">
        <f t="shared" si="11"/>
        <v>90</v>
      </c>
      <c r="Q39" s="35">
        <f t="shared" si="11"/>
        <v>77</v>
      </c>
      <c r="R39" s="35">
        <f t="shared" si="11"/>
        <v>-95</v>
      </c>
      <c r="S39" s="34">
        <f t="shared" si="11"/>
        <v>-211</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c r="E42" s="30"/>
      <c r="F42" s="30"/>
      <c r="G42" s="30"/>
      <c r="H42" s="30"/>
      <c r="I42" s="30"/>
      <c r="J42" s="30"/>
      <c r="K42" s="30"/>
      <c r="L42" s="30"/>
      <c r="M42" s="30"/>
      <c r="N42" s="30"/>
      <c r="O42" s="30"/>
      <c r="P42" s="30"/>
      <c r="Q42" s="30"/>
      <c r="R42" s="30"/>
      <c r="S42" s="5"/>
    </row>
    <row r="43" spans="1:19" ht="25.5">
      <c r="A43" s="47" t="s">
        <v>16</v>
      </c>
      <c r="B43" s="30"/>
      <c r="C43" s="30">
        <f>312+145+23</f>
        <v>480</v>
      </c>
      <c r="D43" s="30">
        <f>189+15+281</f>
        <v>485</v>
      </c>
      <c r="E43" s="30">
        <f>134+320</f>
        <v>454</v>
      </c>
      <c r="F43" s="30">
        <f>144+428</f>
        <v>572</v>
      </c>
      <c r="G43" s="30">
        <f>39+398</f>
        <v>437</v>
      </c>
      <c r="H43" s="30">
        <f>13+37+270</f>
        <v>320</v>
      </c>
      <c r="I43" s="30">
        <f>26+10+53+30+219</f>
        <v>338</v>
      </c>
      <c r="J43" s="30">
        <f>55+21+131+12+24+1</f>
        <v>244</v>
      </c>
      <c r="K43" s="30">
        <f>15+9+16+219+42+52</f>
        <v>353</v>
      </c>
      <c r="L43" s="30">
        <f>52+35+376+27+60+2+12+14</f>
        <v>578</v>
      </c>
      <c r="M43" s="30">
        <f>47+46+439+13+84+7+24</f>
        <v>660</v>
      </c>
      <c r="N43" s="30">
        <f>47+9+416+6+113+1+3+23</f>
        <v>618</v>
      </c>
      <c r="O43" s="30">
        <f>603+1+151+37+35</f>
        <v>827</v>
      </c>
      <c r="P43" s="30">
        <f>406+1+238+49+16</f>
        <v>710</v>
      </c>
      <c r="Q43" s="30">
        <f>413+71+256+149+100</f>
        <v>989</v>
      </c>
      <c r="R43" s="30">
        <v>1142</v>
      </c>
      <c r="S43" s="5">
        <f>1030+190+29</f>
        <v>1249</v>
      </c>
    </row>
    <row r="44" spans="1:19" ht="12.75">
      <c r="A44" s="46" t="s">
        <v>18</v>
      </c>
      <c r="B44" s="29">
        <f aca="true" t="shared" si="12" ref="B44:S44">SUM(B42:B43)</f>
        <v>0</v>
      </c>
      <c r="C44" s="29">
        <f t="shared" si="12"/>
        <v>480</v>
      </c>
      <c r="D44" s="29">
        <f t="shared" si="12"/>
        <v>485</v>
      </c>
      <c r="E44" s="29">
        <f t="shared" si="12"/>
        <v>454</v>
      </c>
      <c r="F44" s="29">
        <f t="shared" si="12"/>
        <v>572</v>
      </c>
      <c r="G44" s="29">
        <f t="shared" si="12"/>
        <v>437</v>
      </c>
      <c r="H44" s="29">
        <f t="shared" si="12"/>
        <v>320</v>
      </c>
      <c r="I44" s="29">
        <f t="shared" si="12"/>
        <v>338</v>
      </c>
      <c r="J44" s="29">
        <f t="shared" si="12"/>
        <v>244</v>
      </c>
      <c r="K44" s="29">
        <f t="shared" si="12"/>
        <v>353</v>
      </c>
      <c r="L44" s="29">
        <f t="shared" si="12"/>
        <v>578</v>
      </c>
      <c r="M44" s="29">
        <f t="shared" si="12"/>
        <v>660</v>
      </c>
      <c r="N44" s="29">
        <f t="shared" si="12"/>
        <v>618</v>
      </c>
      <c r="O44" s="29">
        <f t="shared" si="12"/>
        <v>827</v>
      </c>
      <c r="P44" s="29">
        <f t="shared" si="12"/>
        <v>710</v>
      </c>
      <c r="Q44" s="29">
        <f t="shared" si="12"/>
        <v>989</v>
      </c>
      <c r="R44" s="29">
        <f t="shared" si="12"/>
        <v>1142</v>
      </c>
      <c r="S44" s="28">
        <f t="shared" si="12"/>
        <v>1249</v>
      </c>
    </row>
    <row r="45" spans="1:20" ht="12.75">
      <c r="A45" s="51" t="s">
        <v>14</v>
      </c>
      <c r="B45" s="35">
        <f aca="true" t="shared" si="13" ref="B45:S45">B44-B67</f>
        <v>-687</v>
      </c>
      <c r="C45" s="35">
        <f t="shared" si="13"/>
        <v>-307</v>
      </c>
      <c r="D45" s="35">
        <f t="shared" si="13"/>
        <v>-383</v>
      </c>
      <c r="E45" s="35">
        <f t="shared" si="13"/>
        <v>-459</v>
      </c>
      <c r="F45" s="35">
        <f t="shared" si="13"/>
        <v>-718</v>
      </c>
      <c r="G45" s="35">
        <f t="shared" si="13"/>
        <v>-549</v>
      </c>
      <c r="H45" s="35">
        <f t="shared" si="13"/>
        <v>-861</v>
      </c>
      <c r="I45" s="35">
        <f t="shared" si="13"/>
        <v>-804</v>
      </c>
      <c r="J45" s="35">
        <f t="shared" si="13"/>
        <v>-714</v>
      </c>
      <c r="K45" s="35">
        <f t="shared" si="13"/>
        <v>-862</v>
      </c>
      <c r="L45" s="35">
        <f t="shared" si="13"/>
        <v>-971</v>
      </c>
      <c r="M45" s="35">
        <f t="shared" si="13"/>
        <v>-1012</v>
      </c>
      <c r="N45" s="35">
        <f t="shared" si="13"/>
        <v>-1319</v>
      </c>
      <c r="O45" s="35">
        <f t="shared" si="13"/>
        <v>-1683</v>
      </c>
      <c r="P45" s="35">
        <f t="shared" si="13"/>
        <v>-1553</v>
      </c>
      <c r="Q45" s="35">
        <f t="shared" si="13"/>
        <v>-2058</v>
      </c>
      <c r="R45" s="35">
        <f t="shared" si="13"/>
        <v>-1729</v>
      </c>
      <c r="S45" s="34">
        <f t="shared" si="13"/>
        <v>-1800</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c r="D48" s="2"/>
      <c r="E48" s="2"/>
      <c r="F48" s="2"/>
      <c r="G48" s="2"/>
      <c r="H48" s="2"/>
      <c r="I48" s="2"/>
      <c r="J48" s="2"/>
      <c r="K48" s="2"/>
      <c r="L48" s="2"/>
      <c r="M48" s="2"/>
      <c r="N48" s="2"/>
      <c r="O48" s="2"/>
      <c r="P48" s="2"/>
      <c r="Q48" s="2"/>
      <c r="R48" s="2">
        <f>575</f>
        <v>575</v>
      </c>
      <c r="S48" s="5">
        <v>567</v>
      </c>
    </row>
    <row r="49" spans="1:19" ht="25.5">
      <c r="A49" s="47" t="s">
        <v>16</v>
      </c>
      <c r="B49" s="2"/>
      <c r="C49" s="2"/>
      <c r="D49" s="2">
        <v>142</v>
      </c>
      <c r="E49" s="2">
        <f>517</f>
        <v>517</v>
      </c>
      <c r="F49" s="2">
        <f>1503</f>
        <v>1503</v>
      </c>
      <c r="G49" s="2">
        <f>1741</f>
        <v>1741</v>
      </c>
      <c r="H49" s="2">
        <f>1781</f>
        <v>1781</v>
      </c>
      <c r="I49" s="2">
        <v>1709</v>
      </c>
      <c r="J49" s="2">
        <f>2051</f>
        <v>2051</v>
      </c>
      <c r="K49" s="2">
        <f>2369</f>
        <v>2369</v>
      </c>
      <c r="L49" s="2">
        <f>2282</f>
        <v>2282</v>
      </c>
      <c r="M49" s="2">
        <f>2406</f>
        <v>2406</v>
      </c>
      <c r="N49" s="2">
        <f>3084</f>
        <v>3084</v>
      </c>
      <c r="O49" s="2">
        <f>3207</f>
        <v>3207</v>
      </c>
      <c r="P49" s="2">
        <f>6431</f>
        <v>6431</v>
      </c>
      <c r="Q49" s="2">
        <f>8447</f>
        <v>8447</v>
      </c>
      <c r="R49" s="2">
        <f>R50-R48</f>
        <v>9529</v>
      </c>
      <c r="S49" s="5">
        <f>S50-S48</f>
        <v>11146</v>
      </c>
    </row>
    <row r="50" spans="1:19" ht="12.75">
      <c r="A50" s="46" t="s">
        <v>18</v>
      </c>
      <c r="B50" s="29">
        <f aca="true" t="shared" si="14" ref="B50:Q50">SUM(B48:B49)</f>
        <v>0</v>
      </c>
      <c r="C50" s="29">
        <f t="shared" si="14"/>
        <v>0</v>
      </c>
      <c r="D50" s="29">
        <f t="shared" si="14"/>
        <v>142</v>
      </c>
      <c r="E50" s="29">
        <f t="shared" si="14"/>
        <v>517</v>
      </c>
      <c r="F50" s="29">
        <f t="shared" si="14"/>
        <v>1503</v>
      </c>
      <c r="G50" s="29">
        <f t="shared" si="14"/>
        <v>1741</v>
      </c>
      <c r="H50" s="29">
        <f t="shared" si="14"/>
        <v>1781</v>
      </c>
      <c r="I50" s="29">
        <f t="shared" si="14"/>
        <v>1709</v>
      </c>
      <c r="J50" s="29">
        <f t="shared" si="14"/>
        <v>2051</v>
      </c>
      <c r="K50" s="29">
        <f t="shared" si="14"/>
        <v>2369</v>
      </c>
      <c r="L50" s="29">
        <f t="shared" si="14"/>
        <v>2282</v>
      </c>
      <c r="M50" s="29">
        <f t="shared" si="14"/>
        <v>2406</v>
      </c>
      <c r="N50" s="29">
        <f t="shared" si="14"/>
        <v>3084</v>
      </c>
      <c r="O50" s="29">
        <f t="shared" si="14"/>
        <v>3207</v>
      </c>
      <c r="P50" s="29">
        <f t="shared" si="14"/>
        <v>6431</v>
      </c>
      <c r="Q50" s="29">
        <f t="shared" si="14"/>
        <v>8447</v>
      </c>
      <c r="R50" s="29">
        <f>161+575+1100+8268</f>
        <v>10104</v>
      </c>
      <c r="S50" s="28">
        <f>305+567+1119+9722</f>
        <v>11713</v>
      </c>
    </row>
    <row r="51" spans="1:19" ht="12.75">
      <c r="A51" s="51" t="s">
        <v>14</v>
      </c>
      <c r="B51" s="35">
        <f aca="true" t="shared" si="15" ref="B51:S51">B50-B68</f>
        <v>-359</v>
      </c>
      <c r="C51" s="35">
        <f t="shared" si="15"/>
        <v>-84</v>
      </c>
      <c r="D51" s="35">
        <f t="shared" si="15"/>
        <v>-177</v>
      </c>
      <c r="E51" s="35">
        <f t="shared" si="15"/>
        <v>-172</v>
      </c>
      <c r="F51" s="35">
        <f t="shared" si="15"/>
        <v>-14</v>
      </c>
      <c r="G51" s="35">
        <f t="shared" si="15"/>
        <v>202</v>
      </c>
      <c r="H51" s="35">
        <f t="shared" si="15"/>
        <v>-63</v>
      </c>
      <c r="I51" s="35">
        <f t="shared" si="15"/>
        <v>-164</v>
      </c>
      <c r="J51" s="35">
        <f t="shared" si="15"/>
        <v>-45</v>
      </c>
      <c r="K51" s="35">
        <f t="shared" si="15"/>
        <v>-215</v>
      </c>
      <c r="L51" s="35">
        <f t="shared" si="15"/>
        <v>59</v>
      </c>
      <c r="M51" s="35">
        <f t="shared" si="15"/>
        <v>80</v>
      </c>
      <c r="N51" s="35">
        <f t="shared" si="15"/>
        <v>124</v>
      </c>
      <c r="O51" s="35">
        <f t="shared" si="15"/>
        <v>204</v>
      </c>
      <c r="P51" s="35">
        <f t="shared" si="15"/>
        <v>-115</v>
      </c>
      <c r="Q51" s="35">
        <f t="shared" si="15"/>
        <v>-78</v>
      </c>
      <c r="R51" s="35">
        <f t="shared" si="15"/>
        <v>141</v>
      </c>
      <c r="S51" s="34">
        <f t="shared" si="15"/>
        <v>147</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16" ref="B54:S54">SUM(B18,B24,B30,B36,B42,B48)</f>
        <v>0</v>
      </c>
      <c r="C54" s="66">
        <f t="shared" si="16"/>
        <v>0</v>
      </c>
      <c r="D54" s="66">
        <f t="shared" si="16"/>
        <v>0</v>
      </c>
      <c r="E54" s="66">
        <f t="shared" si="16"/>
        <v>0</v>
      </c>
      <c r="F54" s="66">
        <f t="shared" si="16"/>
        <v>0</v>
      </c>
      <c r="G54" s="66">
        <f t="shared" si="16"/>
        <v>0</v>
      </c>
      <c r="H54" s="66">
        <f t="shared" si="16"/>
        <v>0</v>
      </c>
      <c r="I54" s="66">
        <f t="shared" si="16"/>
        <v>0</v>
      </c>
      <c r="J54" s="66">
        <f t="shared" si="16"/>
        <v>0</v>
      </c>
      <c r="K54" s="66">
        <f t="shared" si="16"/>
        <v>0</v>
      </c>
      <c r="L54" s="66">
        <f t="shared" si="16"/>
        <v>0</v>
      </c>
      <c r="M54" s="66">
        <f t="shared" si="16"/>
        <v>0</v>
      </c>
      <c r="N54" s="66">
        <f t="shared" si="16"/>
        <v>0</v>
      </c>
      <c r="O54" s="66">
        <f t="shared" si="16"/>
        <v>0</v>
      </c>
      <c r="P54" s="66">
        <f t="shared" si="16"/>
        <v>0</v>
      </c>
      <c r="Q54" s="66">
        <f t="shared" si="16"/>
        <v>0</v>
      </c>
      <c r="R54" s="66">
        <f t="shared" si="16"/>
        <v>1061</v>
      </c>
      <c r="S54" s="67">
        <f t="shared" si="16"/>
        <v>1151</v>
      </c>
    </row>
    <row r="55" spans="1:19" ht="12.75">
      <c r="A55" s="53" t="s">
        <v>11</v>
      </c>
      <c r="B55" s="22">
        <f aca="true" t="shared" si="17" ref="B55:S55">SUM(B19,B25,B31,B37,B43,B49)</f>
        <v>0</v>
      </c>
      <c r="C55" s="22">
        <f t="shared" si="17"/>
        <v>1606</v>
      </c>
      <c r="D55" s="22">
        <f t="shared" si="17"/>
        <v>1362</v>
      </c>
      <c r="E55" s="22">
        <f t="shared" si="17"/>
        <v>2067</v>
      </c>
      <c r="F55" s="22">
        <f t="shared" si="17"/>
        <v>3061</v>
      </c>
      <c r="G55" s="22">
        <f t="shared" si="17"/>
        <v>3487</v>
      </c>
      <c r="H55" s="22">
        <f t="shared" si="17"/>
        <v>2911</v>
      </c>
      <c r="I55" s="22">
        <f t="shared" si="17"/>
        <v>2656</v>
      </c>
      <c r="J55" s="22">
        <f t="shared" si="17"/>
        <v>3104</v>
      </c>
      <c r="K55" s="22">
        <f t="shared" si="17"/>
        <v>3404</v>
      </c>
      <c r="L55" s="22">
        <f t="shared" si="17"/>
        <v>3515</v>
      </c>
      <c r="M55" s="22">
        <f t="shared" si="17"/>
        <v>3725</v>
      </c>
      <c r="N55" s="22">
        <f t="shared" si="17"/>
        <v>4252</v>
      </c>
      <c r="O55" s="22">
        <f t="shared" si="17"/>
        <v>4891</v>
      </c>
      <c r="P55" s="22">
        <f t="shared" si="17"/>
        <v>7784</v>
      </c>
      <c r="Q55" s="22">
        <f t="shared" si="17"/>
        <v>10272</v>
      </c>
      <c r="R55" s="22">
        <f t="shared" si="17"/>
        <v>11144</v>
      </c>
      <c r="S55" s="21">
        <f t="shared" si="17"/>
        <v>12739</v>
      </c>
    </row>
    <row r="56" spans="1:19" ht="25.5">
      <c r="A56" s="54" t="s">
        <v>10</v>
      </c>
      <c r="B56" s="20">
        <f aca="true" t="shared" si="18" ref="B56:S56">SUM(B20,B26,B32,B38,B44,B50)</f>
        <v>0</v>
      </c>
      <c r="C56" s="20">
        <f t="shared" si="18"/>
        <v>1606</v>
      </c>
      <c r="D56" s="20">
        <f t="shared" si="18"/>
        <v>1362</v>
      </c>
      <c r="E56" s="20">
        <f t="shared" si="18"/>
        <v>2067</v>
      </c>
      <c r="F56" s="20">
        <f t="shared" si="18"/>
        <v>3061</v>
      </c>
      <c r="G56" s="20">
        <f t="shared" si="18"/>
        <v>3487</v>
      </c>
      <c r="H56" s="20">
        <f t="shared" si="18"/>
        <v>2911</v>
      </c>
      <c r="I56" s="20">
        <f t="shared" si="18"/>
        <v>2656</v>
      </c>
      <c r="J56" s="20">
        <f t="shared" si="18"/>
        <v>3104</v>
      </c>
      <c r="K56" s="20">
        <f t="shared" si="18"/>
        <v>3404</v>
      </c>
      <c r="L56" s="20">
        <f t="shared" si="18"/>
        <v>3515</v>
      </c>
      <c r="M56" s="20">
        <f t="shared" si="18"/>
        <v>3725</v>
      </c>
      <c r="N56" s="20">
        <f t="shared" si="18"/>
        <v>4252</v>
      </c>
      <c r="O56" s="20">
        <f t="shared" si="18"/>
        <v>4891</v>
      </c>
      <c r="P56" s="20">
        <f t="shared" si="18"/>
        <v>7784</v>
      </c>
      <c r="Q56" s="20">
        <f t="shared" si="18"/>
        <v>10272</v>
      </c>
      <c r="R56" s="20">
        <f t="shared" si="18"/>
        <v>12205</v>
      </c>
      <c r="S56" s="19">
        <f t="shared" si="18"/>
        <v>13890</v>
      </c>
    </row>
    <row r="57" spans="1:19" ht="12.75">
      <c r="A57" s="55" t="s">
        <v>9</v>
      </c>
      <c r="B57" s="71">
        <f aca="true" t="shared" si="19" ref="B57:S57">SUM(B21,B27,B33,B39,B45,B51)</f>
        <v>-2687</v>
      </c>
      <c r="C57" s="71">
        <f t="shared" si="19"/>
        <v>-564</v>
      </c>
      <c r="D57" s="71">
        <f t="shared" si="19"/>
        <v>-701</v>
      </c>
      <c r="E57" s="71">
        <f t="shared" si="19"/>
        <v>-817</v>
      </c>
      <c r="F57" s="71">
        <f t="shared" si="19"/>
        <v>-483</v>
      </c>
      <c r="G57" s="71">
        <f t="shared" si="19"/>
        <v>-320</v>
      </c>
      <c r="H57" s="71">
        <f t="shared" si="19"/>
        <v>-632</v>
      </c>
      <c r="I57" s="71">
        <f t="shared" si="19"/>
        <v>-897</v>
      </c>
      <c r="J57" s="71">
        <f t="shared" si="19"/>
        <v>-1017</v>
      </c>
      <c r="K57" s="71">
        <f t="shared" si="19"/>
        <v>-1057</v>
      </c>
      <c r="L57" s="71">
        <f t="shared" si="19"/>
        <v>-860</v>
      </c>
      <c r="M57" s="71">
        <f t="shared" si="19"/>
        <v>-771</v>
      </c>
      <c r="N57" s="71">
        <f t="shared" si="19"/>
        <v>-1312</v>
      </c>
      <c r="O57" s="71">
        <f t="shared" si="19"/>
        <v>-1258</v>
      </c>
      <c r="P57" s="71">
        <f t="shared" si="19"/>
        <v>-1578</v>
      </c>
      <c r="Q57" s="71">
        <f t="shared" si="19"/>
        <v>-2059</v>
      </c>
      <c r="R57" s="71">
        <f t="shared" si="19"/>
        <v>-1683</v>
      </c>
      <c r="S57" s="18">
        <f t="shared" si="19"/>
        <v>-1864</v>
      </c>
    </row>
    <row r="58" spans="1:19" ht="12.75">
      <c r="A58" s="56" t="s">
        <v>8</v>
      </c>
      <c r="B58" s="17">
        <f aca="true" t="shared" si="20" ref="B58:S58">B59-B55-B15</f>
        <v>2237</v>
      </c>
      <c r="C58" s="17">
        <f t="shared" si="20"/>
        <v>292</v>
      </c>
      <c r="D58" s="17">
        <f t="shared" si="20"/>
        <v>508</v>
      </c>
      <c r="E58" s="17">
        <f t="shared" si="20"/>
        <v>379</v>
      </c>
      <c r="F58" s="17">
        <f t="shared" si="20"/>
        <v>368</v>
      </c>
      <c r="G58" s="17">
        <f t="shared" si="20"/>
        <v>223</v>
      </c>
      <c r="H58" s="17">
        <f t="shared" si="20"/>
        <v>960</v>
      </c>
      <c r="I58" s="17">
        <f t="shared" si="20"/>
        <v>723</v>
      </c>
      <c r="J58" s="17">
        <f t="shared" si="20"/>
        <v>998</v>
      </c>
      <c r="K58" s="17">
        <f t="shared" si="20"/>
        <v>7455</v>
      </c>
      <c r="L58" s="17">
        <f t="shared" si="20"/>
        <v>915</v>
      </c>
      <c r="M58" s="17">
        <f t="shared" si="20"/>
        <v>754</v>
      </c>
      <c r="N58" s="17">
        <f t="shared" si="20"/>
        <v>802</v>
      </c>
      <c r="O58" s="17">
        <f t="shared" si="20"/>
        <v>1306</v>
      </c>
      <c r="P58" s="17">
        <f t="shared" si="20"/>
        <v>1644</v>
      </c>
      <c r="Q58" s="17">
        <f t="shared" si="20"/>
        <v>1528</v>
      </c>
      <c r="R58" s="17">
        <f t="shared" si="20"/>
        <v>422</v>
      </c>
      <c r="S58" s="16">
        <f t="shared" si="20"/>
        <v>-49</v>
      </c>
    </row>
    <row r="59" spans="1:19" ht="12.75">
      <c r="A59" s="57" t="s">
        <v>7</v>
      </c>
      <c r="B59" s="7">
        <v>3844</v>
      </c>
      <c r="C59" s="7">
        <v>3434</v>
      </c>
      <c r="D59" s="7">
        <v>3139</v>
      </c>
      <c r="E59" s="7">
        <v>3734</v>
      </c>
      <c r="F59" s="7">
        <v>4700</v>
      </c>
      <c r="G59" s="7">
        <v>5116</v>
      </c>
      <c r="H59" s="7">
        <v>5645</v>
      </c>
      <c r="I59" s="7">
        <v>5164</v>
      </c>
      <c r="J59" s="7">
        <v>5908</v>
      </c>
      <c r="K59" s="7">
        <v>12621</v>
      </c>
      <c r="L59" s="7">
        <v>6197</v>
      </c>
      <c r="M59" s="7">
        <v>6213</v>
      </c>
      <c r="N59" s="7">
        <v>6899</v>
      </c>
      <c r="O59" s="7">
        <v>8080</v>
      </c>
      <c r="P59" s="7">
        <v>11330</v>
      </c>
      <c r="Q59" s="7">
        <v>13699</v>
      </c>
      <c r="R59" s="7">
        <v>14502</v>
      </c>
      <c r="S59" s="6">
        <v>15719</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46+301+116</f>
        <v>463</v>
      </c>
      <c r="C62" s="2">
        <f>34+276+111</f>
        <v>421</v>
      </c>
      <c r="D62" s="2">
        <f>30+23</f>
        <v>53</v>
      </c>
      <c r="E62" s="2">
        <f>33+30</f>
        <v>63</v>
      </c>
      <c r="F62" s="2">
        <v>31</v>
      </c>
      <c r="G62" s="2">
        <f>152+37</f>
        <v>189</v>
      </c>
      <c r="H62" s="2">
        <f>196+32</f>
        <v>228</v>
      </c>
      <c r="I62" s="2">
        <f>35+42</f>
        <v>77</v>
      </c>
      <c r="J62" s="2">
        <f>40</f>
        <v>40</v>
      </c>
      <c r="K62" s="2">
        <f>36+47</f>
        <v>83</v>
      </c>
      <c r="L62" s="2">
        <f>41+18</f>
        <v>59</v>
      </c>
      <c r="M62" s="2">
        <f>56+40</f>
        <v>96</v>
      </c>
      <c r="N62" s="2">
        <f>60+44</f>
        <v>104</v>
      </c>
      <c r="O62" s="89">
        <f>173+12</f>
        <v>185</v>
      </c>
      <c r="P62" s="89">
        <f>176</f>
        <v>176</v>
      </c>
      <c r="Q62" s="89">
        <f>247</f>
        <v>247</v>
      </c>
      <c r="R62" s="89">
        <f>193</f>
        <v>193</v>
      </c>
      <c r="S62" s="85">
        <v>184</v>
      </c>
    </row>
    <row r="63" spans="1:19" ht="12.75">
      <c r="A63" s="58" t="s">
        <v>37</v>
      </c>
      <c r="B63" s="15">
        <v>77</v>
      </c>
      <c r="C63" s="15">
        <v>83</v>
      </c>
      <c r="D63" s="15">
        <v>95</v>
      </c>
      <c r="E63" s="15">
        <f>148</f>
        <v>148</v>
      </c>
      <c r="F63" s="15">
        <f>97</f>
        <v>97</v>
      </c>
      <c r="G63" s="15">
        <v>112</v>
      </c>
      <c r="H63" s="15">
        <f>91</f>
        <v>91</v>
      </c>
      <c r="I63" s="15">
        <f>26+51+78</f>
        <v>155</v>
      </c>
      <c r="J63" s="15">
        <f>30+54+74</f>
        <v>158</v>
      </c>
      <c r="K63" s="15">
        <f>34+56+87</f>
        <v>177</v>
      </c>
      <c r="L63" s="15">
        <f>43+62+94</f>
        <v>199</v>
      </c>
      <c r="M63" s="15">
        <f>63+155</f>
        <v>218</v>
      </c>
      <c r="N63" s="15">
        <f>59+146</f>
        <v>205</v>
      </c>
      <c r="O63" s="15">
        <f>192</f>
        <v>192</v>
      </c>
      <c r="P63" s="15">
        <f>307</f>
        <v>307</v>
      </c>
      <c r="Q63" s="15">
        <f>209</f>
        <v>209</v>
      </c>
      <c r="R63" s="15"/>
      <c r="S63" s="14"/>
    </row>
    <row r="64" spans="1:19" ht="25.5" hidden="1" outlineLevel="1">
      <c r="A64" s="118" t="s">
        <v>52</v>
      </c>
      <c r="B64" s="119"/>
      <c r="C64" s="119"/>
      <c r="D64" s="119"/>
      <c r="E64" s="119"/>
      <c r="F64" s="119"/>
      <c r="G64" s="119"/>
      <c r="H64" s="119"/>
      <c r="I64" s="119"/>
      <c r="J64" s="119"/>
      <c r="K64" s="119"/>
      <c r="L64" s="119"/>
      <c r="M64" s="119"/>
      <c r="N64" s="119"/>
      <c r="O64" s="119"/>
      <c r="P64" s="119"/>
      <c r="Q64" s="119"/>
      <c r="R64" s="119"/>
      <c r="S64" s="122"/>
    </row>
    <row r="65" spans="1:19" ht="12.75" customHeight="1" hidden="1" outlineLevel="1">
      <c r="A65" s="60" t="s">
        <v>5</v>
      </c>
      <c r="B65" s="11"/>
      <c r="C65" s="11"/>
      <c r="D65" s="11"/>
      <c r="E65" s="11"/>
      <c r="F65" s="11"/>
      <c r="G65" s="11"/>
      <c r="H65" s="11"/>
      <c r="I65" s="11"/>
      <c r="J65" s="11"/>
      <c r="K65" s="11"/>
      <c r="L65" s="11"/>
      <c r="M65" s="11"/>
      <c r="N65" s="11"/>
      <c r="O65" s="11"/>
      <c r="P65" s="11"/>
      <c r="Q65" s="11"/>
      <c r="R65" s="11"/>
      <c r="S65" s="10"/>
    </row>
    <row r="66" spans="1:19" ht="12.75" collapsed="1">
      <c r="A66" s="118" t="s">
        <v>42</v>
      </c>
      <c r="B66" s="119">
        <f>67+1574</f>
        <v>1641</v>
      </c>
      <c r="C66" s="119">
        <f>63+1236</f>
        <v>1299</v>
      </c>
      <c r="D66" s="119">
        <f>14+103+759</f>
        <v>876</v>
      </c>
      <c r="E66" s="119">
        <f>150+1132</f>
        <v>1282</v>
      </c>
      <c r="F66" s="119">
        <f>591+146</f>
        <v>737</v>
      </c>
      <c r="G66" s="119">
        <f>1092+190</f>
        <v>1282</v>
      </c>
      <c r="H66" s="119">
        <f>777-294+35</f>
        <v>518</v>
      </c>
      <c r="I66" s="119">
        <f>27+26+227+258</f>
        <v>538</v>
      </c>
      <c r="J66" s="119">
        <f>8+765+294</f>
        <v>1067</v>
      </c>
      <c r="K66" s="119">
        <f>50+442+170</f>
        <v>662</v>
      </c>
      <c r="L66" s="119">
        <f>359+184+60</f>
        <v>603</v>
      </c>
      <c r="M66" s="119">
        <f>224+224+50</f>
        <v>498</v>
      </c>
      <c r="N66" s="119">
        <f>472+143+52</f>
        <v>667</v>
      </c>
      <c r="O66" s="119">
        <f>457+179</f>
        <v>636</v>
      </c>
      <c r="P66" s="119">
        <f>316+29+208</f>
        <v>553</v>
      </c>
      <c r="Q66" s="119">
        <f>617+142</f>
        <v>759</v>
      </c>
      <c r="R66" s="119">
        <f>1054</f>
        <v>1054</v>
      </c>
      <c r="S66" s="122">
        <f>1139</f>
        <v>1139</v>
      </c>
    </row>
    <row r="67" spans="1:19" ht="13.5" customHeight="1">
      <c r="A67" s="117" t="s">
        <v>50</v>
      </c>
      <c r="B67" s="120">
        <f>205+84+256+142</f>
        <v>687</v>
      </c>
      <c r="C67" s="120">
        <f>401+298+88</f>
        <v>787</v>
      </c>
      <c r="D67" s="120">
        <f>397+32+299+140</f>
        <v>868</v>
      </c>
      <c r="E67" s="120">
        <f>363+550</f>
        <v>913</v>
      </c>
      <c r="F67" s="120">
        <f>616+685-11</f>
        <v>1290</v>
      </c>
      <c r="G67" s="120">
        <f>422+572-8</f>
        <v>986</v>
      </c>
      <c r="H67" s="120">
        <f>427+271+483</f>
        <v>1181</v>
      </c>
      <c r="I67" s="120">
        <f>64+53+302+16+240+21+446</f>
        <v>1142</v>
      </c>
      <c r="J67" s="120">
        <f>41+44+221+268+40+311+24+9</f>
        <v>958</v>
      </c>
      <c r="K67" s="120">
        <f>13+61+392+209+82+48+108+302</f>
        <v>1215</v>
      </c>
      <c r="L67" s="120">
        <f>15+34+348+174+253+97+464+113+51</f>
        <v>1549</v>
      </c>
      <c r="M67" s="120">
        <f>26+89+615+128+171+179+401+24+11+28</f>
        <v>1672</v>
      </c>
      <c r="N67" s="120">
        <f>23+39+706+163+228+285+438+24+7+24</f>
        <v>1937</v>
      </c>
      <c r="O67" s="120">
        <f>113+453+618+285+1059-18</f>
        <v>2510</v>
      </c>
      <c r="P67" s="120">
        <f>114+454+550+342+803</f>
        <v>2263</v>
      </c>
      <c r="Q67" s="120">
        <f>827+395+883+687+255</f>
        <v>3047</v>
      </c>
      <c r="R67" s="125">
        <f>539+712+1620</f>
        <v>2871</v>
      </c>
      <c r="S67" s="128">
        <f>614+573+1862</f>
        <v>3049</v>
      </c>
    </row>
    <row r="68" spans="1:19" ht="12.75">
      <c r="A68" s="117" t="s">
        <v>41</v>
      </c>
      <c r="B68" s="119">
        <f>266+93</f>
        <v>359</v>
      </c>
      <c r="C68" s="119">
        <f>84</f>
        <v>84</v>
      </c>
      <c r="D68" s="119">
        <f>66+253</f>
        <v>319</v>
      </c>
      <c r="E68" s="119">
        <f>7+682</f>
        <v>689</v>
      </c>
      <c r="F68" s="119">
        <f>1506+11</f>
        <v>1517</v>
      </c>
      <c r="G68" s="119">
        <f>1531+8</f>
        <v>1539</v>
      </c>
      <c r="H68" s="119">
        <f>1844</f>
        <v>1844</v>
      </c>
      <c r="I68" s="119">
        <f>1853+20</f>
        <v>1873</v>
      </c>
      <c r="J68" s="119">
        <f>14+2082</f>
        <v>2096</v>
      </c>
      <c r="K68" s="119">
        <f>2574+10</f>
        <v>2584</v>
      </c>
      <c r="L68" s="119">
        <f>1+2222</f>
        <v>2223</v>
      </c>
      <c r="M68" s="119">
        <f>5+2321</f>
        <v>2326</v>
      </c>
      <c r="N68" s="119">
        <f>2949+11</f>
        <v>2960</v>
      </c>
      <c r="O68" s="119">
        <f>2997+6</f>
        <v>3003</v>
      </c>
      <c r="P68" s="119">
        <f>6546</f>
        <v>6546</v>
      </c>
      <c r="Q68" s="119">
        <f>8525</f>
        <v>8525</v>
      </c>
      <c r="R68" s="119">
        <f>47+679+985+8252</f>
        <v>9963</v>
      </c>
      <c r="S68" s="122">
        <f>-55+963+939+9719</f>
        <v>11566</v>
      </c>
    </row>
    <row r="69" spans="1:19" ht="51">
      <c r="A69" s="61" t="s">
        <v>4</v>
      </c>
      <c r="B69" s="9">
        <f aca="true" t="shared" si="21" ref="B69:S69">B71</f>
        <v>720</v>
      </c>
      <c r="C69" s="9">
        <f t="shared" si="21"/>
        <v>868</v>
      </c>
      <c r="D69" s="9">
        <f t="shared" si="21"/>
        <v>1052</v>
      </c>
      <c r="E69" s="9">
        <f t="shared" si="21"/>
        <v>605</v>
      </c>
      <c r="F69" s="9">
        <f t="shared" si="21"/>
        <v>345</v>
      </c>
      <c r="G69" s="9">
        <f t="shared" si="21"/>
        <v>359</v>
      </c>
      <c r="H69" s="9">
        <f t="shared" si="21"/>
        <v>768</v>
      </c>
      <c r="I69" s="9">
        <f t="shared" si="21"/>
        <v>659</v>
      </c>
      <c r="J69" s="9">
        <f t="shared" si="21"/>
        <v>796</v>
      </c>
      <c r="K69" s="9">
        <f t="shared" si="21"/>
        <v>781</v>
      </c>
      <c r="L69" s="9">
        <f t="shared" si="21"/>
        <v>649</v>
      </c>
      <c r="M69" s="9">
        <f t="shared" si="21"/>
        <v>700</v>
      </c>
      <c r="N69" s="9">
        <f t="shared" si="21"/>
        <v>611</v>
      </c>
      <c r="O69" s="9">
        <f t="shared" si="21"/>
        <v>783</v>
      </c>
      <c r="P69" s="9">
        <f t="shared" si="21"/>
        <v>535</v>
      </c>
      <c r="Q69" s="9">
        <f t="shared" si="21"/>
        <v>654</v>
      </c>
      <c r="R69" s="9">
        <f t="shared" si="21"/>
        <v>1160</v>
      </c>
      <c r="S69" s="8">
        <f t="shared" si="21"/>
        <v>292</v>
      </c>
    </row>
    <row r="70" spans="1:19" ht="25.5">
      <c r="A70" s="61" t="s">
        <v>3</v>
      </c>
      <c r="B70" s="9">
        <v>0</v>
      </c>
      <c r="C70" s="9">
        <v>0</v>
      </c>
      <c r="D70" s="9">
        <v>0</v>
      </c>
      <c r="E70" s="9">
        <v>0</v>
      </c>
      <c r="F70" s="9">
        <v>0</v>
      </c>
      <c r="G70" s="9">
        <v>0</v>
      </c>
      <c r="H70" s="9">
        <v>0</v>
      </c>
      <c r="I70" s="9">
        <v>0</v>
      </c>
      <c r="J70" s="9">
        <v>0</v>
      </c>
      <c r="K70" s="9">
        <v>0</v>
      </c>
      <c r="L70" s="9">
        <v>0</v>
      </c>
      <c r="M70" s="9">
        <v>0</v>
      </c>
      <c r="N70" s="9">
        <v>0</v>
      </c>
      <c r="O70" s="9">
        <v>0</v>
      </c>
      <c r="P70" s="9">
        <v>0</v>
      </c>
      <c r="Q70" s="9">
        <v>0</v>
      </c>
      <c r="R70" s="9">
        <v>0</v>
      </c>
      <c r="S70" s="8">
        <v>0</v>
      </c>
    </row>
    <row r="71" spans="1:19" ht="63.75">
      <c r="A71" s="47" t="s">
        <v>2</v>
      </c>
      <c r="B71" s="74">
        <f aca="true" t="shared" si="22" ref="B71:S71">B72-SUM(B62:B68)</f>
        <v>720</v>
      </c>
      <c r="C71" s="74">
        <f t="shared" si="22"/>
        <v>868</v>
      </c>
      <c r="D71" s="74">
        <f t="shared" si="22"/>
        <v>1052</v>
      </c>
      <c r="E71" s="74">
        <f t="shared" si="22"/>
        <v>605</v>
      </c>
      <c r="F71" s="74">
        <f t="shared" si="22"/>
        <v>345</v>
      </c>
      <c r="G71" s="74">
        <f t="shared" si="22"/>
        <v>359</v>
      </c>
      <c r="H71" s="74">
        <f t="shared" si="22"/>
        <v>768</v>
      </c>
      <c r="I71" s="74">
        <f t="shared" si="22"/>
        <v>659</v>
      </c>
      <c r="J71" s="74">
        <f t="shared" si="22"/>
        <v>796</v>
      </c>
      <c r="K71" s="74">
        <f t="shared" si="22"/>
        <v>781</v>
      </c>
      <c r="L71" s="74">
        <f t="shared" si="22"/>
        <v>649</v>
      </c>
      <c r="M71" s="74">
        <f t="shared" si="22"/>
        <v>700</v>
      </c>
      <c r="N71" s="74">
        <f t="shared" si="22"/>
        <v>611</v>
      </c>
      <c r="O71" s="74">
        <f t="shared" si="22"/>
        <v>783</v>
      </c>
      <c r="P71" s="74">
        <f t="shared" si="22"/>
        <v>535</v>
      </c>
      <c r="Q71" s="74">
        <f t="shared" si="22"/>
        <v>654</v>
      </c>
      <c r="R71" s="74">
        <f t="shared" si="22"/>
        <v>1160</v>
      </c>
      <c r="S71" s="75">
        <f t="shared" si="22"/>
        <v>292</v>
      </c>
    </row>
    <row r="72" spans="1:19" ht="12.75">
      <c r="A72" s="57" t="s">
        <v>1</v>
      </c>
      <c r="B72" s="7">
        <v>3947</v>
      </c>
      <c r="C72" s="7">
        <v>3542</v>
      </c>
      <c r="D72" s="7">
        <v>3263</v>
      </c>
      <c r="E72" s="7">
        <v>3700</v>
      </c>
      <c r="F72" s="7">
        <v>4017</v>
      </c>
      <c r="G72" s="7">
        <v>4467</v>
      </c>
      <c r="H72" s="7">
        <v>4630</v>
      </c>
      <c r="I72" s="7">
        <v>4444</v>
      </c>
      <c r="J72" s="7">
        <f>5115</f>
        <v>5115</v>
      </c>
      <c r="K72" s="7">
        <f>5502</f>
        <v>5502</v>
      </c>
      <c r="L72" s="7">
        <v>5282</v>
      </c>
      <c r="M72" s="7">
        <v>5510</v>
      </c>
      <c r="N72" s="7">
        <f>6484</f>
        <v>6484</v>
      </c>
      <c r="O72" s="7">
        <v>7309</v>
      </c>
      <c r="P72" s="7">
        <f>10380</f>
        <v>10380</v>
      </c>
      <c r="Q72" s="7">
        <f>13441</f>
        <v>13441</v>
      </c>
      <c r="R72" s="7">
        <v>15241</v>
      </c>
      <c r="S72" s="6">
        <f>16230</f>
        <v>16230</v>
      </c>
    </row>
    <row r="73" spans="1:19" ht="12.75">
      <c r="A73" s="47"/>
      <c r="B73" s="2"/>
      <c r="C73" s="2"/>
      <c r="D73" s="2"/>
      <c r="E73" s="2"/>
      <c r="F73" s="2"/>
      <c r="G73" s="2"/>
      <c r="H73" s="2"/>
      <c r="I73" s="2"/>
      <c r="J73" s="2"/>
      <c r="K73" s="2"/>
      <c r="L73" s="2"/>
      <c r="M73" s="2"/>
      <c r="N73" s="2"/>
      <c r="O73" s="2"/>
      <c r="P73" s="2"/>
      <c r="Q73" s="2"/>
      <c r="R73" s="2"/>
      <c r="S73" s="5"/>
    </row>
    <row r="74" spans="1:19" ht="12.75">
      <c r="A74" s="62" t="s">
        <v>0</v>
      </c>
      <c r="B74" s="129">
        <v>1417</v>
      </c>
      <c r="C74" s="4">
        <v>11587</v>
      </c>
      <c r="D74" s="4">
        <v>28887</v>
      </c>
      <c r="E74" s="4">
        <v>27704</v>
      </c>
      <c r="F74" s="4">
        <v>28664</v>
      </c>
      <c r="G74" s="4">
        <v>29470</v>
      </c>
      <c r="H74" s="4">
        <v>23571</v>
      </c>
      <c r="I74" s="4">
        <v>21750</v>
      </c>
      <c r="J74" s="4">
        <v>22542</v>
      </c>
      <c r="K74" s="4">
        <v>29661</v>
      </c>
      <c r="L74" s="4">
        <v>31404</v>
      </c>
      <c r="M74" s="4">
        <v>29271</v>
      </c>
      <c r="N74" s="4">
        <v>29686</v>
      </c>
      <c r="O74" s="4">
        <v>36458</v>
      </c>
      <c r="P74" s="4">
        <v>37408</v>
      </c>
      <c r="Q74" s="4">
        <v>37666</v>
      </c>
      <c r="R74" s="4">
        <v>54069</v>
      </c>
      <c r="S74" s="3">
        <v>53469</v>
      </c>
    </row>
    <row r="75" ht="12.75"/>
    <row r="76" ht="12.75"/>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T74"/>
  <sheetViews>
    <sheetView zoomScale="50" zoomScaleNormal="50" zoomScalePageLayoutView="0" workbookViewId="0" topLeftCell="A1">
      <pane xSplit="1" ySplit="2" topLeftCell="B3" activePane="bottomRight" state="frozen"/>
      <selection pane="topLeft" activeCell="H29" sqref="H29"/>
      <selection pane="topRight" activeCell="H29" sqref="H29"/>
      <selection pane="bottomLeft" activeCell="H29" sqref="H29"/>
      <selection pane="bottomRight" activeCell="A56" sqref="A56:A57"/>
    </sheetView>
  </sheetViews>
  <sheetFormatPr defaultColWidth="9.140625" defaultRowHeight="15" outlineLevelRow="1"/>
  <cols>
    <col min="1" max="1" width="32.421875" style="2" customWidth="1"/>
    <col min="2" max="16384" width="9.140625" style="1" customWidth="1"/>
  </cols>
  <sheetData>
    <row r="1" spans="1:19" ht="12.75">
      <c r="A1" s="21"/>
      <c r="B1" s="482" t="s">
        <v>74</v>
      </c>
      <c r="C1" s="483"/>
      <c r="D1" s="483"/>
      <c r="E1" s="483"/>
      <c r="F1" s="483"/>
      <c r="G1" s="483"/>
      <c r="H1" s="483"/>
      <c r="I1" s="483"/>
      <c r="J1" s="483"/>
      <c r="K1" s="483"/>
      <c r="L1" s="483"/>
      <c r="M1" s="483"/>
      <c r="N1" s="483"/>
      <c r="O1" s="483"/>
      <c r="P1" s="483"/>
      <c r="Q1" s="483"/>
      <c r="R1" s="483"/>
      <c r="S1" s="484"/>
    </row>
    <row r="2" spans="1:19" ht="12.75">
      <c r="A2" s="43"/>
      <c r="B2" s="88">
        <v>1991</v>
      </c>
      <c r="C2" s="88">
        <v>1992</v>
      </c>
      <c r="D2" s="88">
        <v>1993</v>
      </c>
      <c r="E2" s="88">
        <v>1994</v>
      </c>
      <c r="F2" s="88">
        <v>1995</v>
      </c>
      <c r="G2" s="88">
        <v>1996</v>
      </c>
      <c r="H2" s="44">
        <v>1997</v>
      </c>
      <c r="I2" s="44">
        <v>1998</v>
      </c>
      <c r="J2" s="88">
        <v>1999</v>
      </c>
      <c r="K2" s="44">
        <v>2000</v>
      </c>
      <c r="L2" s="44">
        <v>2001</v>
      </c>
      <c r="M2" s="88">
        <v>2002</v>
      </c>
      <c r="N2" s="44">
        <v>2003</v>
      </c>
      <c r="O2" s="44">
        <v>2004</v>
      </c>
      <c r="P2" s="44">
        <v>2005</v>
      </c>
      <c r="Q2" s="44">
        <v>2006</v>
      </c>
      <c r="R2" s="44">
        <v>2007</v>
      </c>
      <c r="S2" s="116">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c r="C5" s="2"/>
      <c r="D5" s="2"/>
      <c r="E5" s="2"/>
      <c r="F5" s="2"/>
      <c r="G5" s="2"/>
      <c r="H5" s="2"/>
      <c r="I5" s="2"/>
      <c r="J5" s="2"/>
      <c r="K5" s="2"/>
      <c r="L5" s="2"/>
      <c r="M5" s="2"/>
      <c r="N5" s="2"/>
      <c r="O5" s="2"/>
      <c r="P5" s="2"/>
      <c r="Q5" s="2"/>
      <c r="R5" s="2"/>
      <c r="S5" s="5"/>
    </row>
    <row r="6" spans="1:19" ht="12.75">
      <c r="A6" s="47" t="s">
        <v>28</v>
      </c>
      <c r="B6" s="2"/>
      <c r="C6" s="2"/>
      <c r="D6" s="2"/>
      <c r="E6" s="2"/>
      <c r="F6" s="2"/>
      <c r="G6" s="2"/>
      <c r="H6" s="2"/>
      <c r="I6" s="2"/>
      <c r="J6" s="2"/>
      <c r="K6" s="2"/>
      <c r="L6" s="2"/>
      <c r="M6" s="2"/>
      <c r="N6" s="2"/>
      <c r="O6" s="2"/>
      <c r="P6" s="2"/>
      <c r="Q6" s="2"/>
      <c r="R6" s="2"/>
      <c r="S6" s="5"/>
    </row>
    <row r="7" spans="1:19" ht="12.75">
      <c r="A7" s="47" t="s">
        <v>27</v>
      </c>
      <c r="B7" s="2">
        <f aca="true" t="shared" si="0" ref="B7:K7">B18</f>
        <v>0</v>
      </c>
      <c r="C7" s="2">
        <f t="shared" si="0"/>
        <v>0</v>
      </c>
      <c r="D7" s="2">
        <f t="shared" si="0"/>
        <v>0</v>
      </c>
      <c r="E7" s="2">
        <f t="shared" si="0"/>
        <v>0</v>
      </c>
      <c r="F7" s="2">
        <f t="shared" si="0"/>
        <v>0</v>
      </c>
      <c r="G7" s="2">
        <f t="shared" si="0"/>
        <v>0</v>
      </c>
      <c r="H7" s="2">
        <f t="shared" si="0"/>
        <v>0</v>
      </c>
      <c r="I7" s="2">
        <f t="shared" si="0"/>
        <v>0</v>
      </c>
      <c r="J7" s="2">
        <f t="shared" si="0"/>
        <v>0</v>
      </c>
      <c r="K7" s="2">
        <f t="shared" si="0"/>
        <v>0</v>
      </c>
      <c r="L7" s="2">
        <f aca="true" t="shared" si="1" ref="L7:S7">L18</f>
        <v>0</v>
      </c>
      <c r="M7" s="2">
        <f t="shared" si="1"/>
        <v>0</v>
      </c>
      <c r="N7" s="2">
        <f t="shared" si="1"/>
        <v>0</v>
      </c>
      <c r="O7" s="2">
        <f t="shared" si="1"/>
        <v>0</v>
      </c>
      <c r="P7" s="2">
        <f t="shared" si="1"/>
        <v>0</v>
      </c>
      <c r="Q7" s="2">
        <f t="shared" si="1"/>
        <v>0</v>
      </c>
      <c r="R7" s="2">
        <f t="shared" si="1"/>
        <v>0</v>
      </c>
      <c r="S7" s="5">
        <f t="shared" si="1"/>
        <v>0</v>
      </c>
    </row>
    <row r="8" spans="1:19" ht="12.75">
      <c r="A8" s="47" t="s">
        <v>26</v>
      </c>
      <c r="B8" s="2">
        <f aca="true" t="shared" si="2" ref="B8:K8">B24</f>
        <v>0</v>
      </c>
      <c r="C8" s="2">
        <f t="shared" si="2"/>
        <v>0</v>
      </c>
      <c r="D8" s="2">
        <f t="shared" si="2"/>
        <v>0</v>
      </c>
      <c r="E8" s="2">
        <f t="shared" si="2"/>
        <v>0</v>
      </c>
      <c r="F8" s="2">
        <f t="shared" si="2"/>
        <v>0</v>
      </c>
      <c r="G8" s="2">
        <f t="shared" si="2"/>
        <v>0</v>
      </c>
      <c r="H8" s="2">
        <f t="shared" si="2"/>
        <v>0</v>
      </c>
      <c r="I8" s="2">
        <f t="shared" si="2"/>
        <v>0</v>
      </c>
      <c r="J8" s="2">
        <f t="shared" si="2"/>
        <v>0</v>
      </c>
      <c r="K8" s="2">
        <f t="shared" si="2"/>
        <v>0</v>
      </c>
      <c r="L8" s="2">
        <f aca="true" t="shared" si="3" ref="L8:S8">L24</f>
        <v>0</v>
      </c>
      <c r="M8" s="2">
        <f t="shared" si="3"/>
        <v>0</v>
      </c>
      <c r="N8" s="2">
        <f t="shared" si="3"/>
        <v>0</v>
      </c>
      <c r="O8" s="2">
        <f t="shared" si="3"/>
        <v>0</v>
      </c>
      <c r="P8" s="2">
        <f t="shared" si="3"/>
        <v>0</v>
      </c>
      <c r="Q8" s="2">
        <f t="shared" si="3"/>
        <v>0</v>
      </c>
      <c r="R8" s="2">
        <f t="shared" si="3"/>
        <v>0</v>
      </c>
      <c r="S8" s="5">
        <f t="shared" si="3"/>
        <v>0</v>
      </c>
    </row>
    <row r="9" spans="1:19" ht="12.75">
      <c r="A9" s="59" t="s">
        <v>35</v>
      </c>
      <c r="B9" s="78">
        <f aca="true" t="shared" si="4" ref="B9:K9">B36</f>
        <v>0</v>
      </c>
      <c r="C9" s="78">
        <f t="shared" si="4"/>
        <v>0</v>
      </c>
      <c r="D9" s="78">
        <f t="shared" si="4"/>
        <v>0</v>
      </c>
      <c r="E9" s="78">
        <f t="shared" si="4"/>
        <v>0</v>
      </c>
      <c r="F9" s="13">
        <f t="shared" si="4"/>
        <v>0</v>
      </c>
      <c r="G9" s="13">
        <f t="shared" si="4"/>
        <v>0</v>
      </c>
      <c r="H9" s="13">
        <f t="shared" si="4"/>
        <v>0</v>
      </c>
      <c r="I9" s="13">
        <f t="shared" si="4"/>
        <v>0</v>
      </c>
      <c r="J9" s="13">
        <f t="shared" si="4"/>
        <v>0</v>
      </c>
      <c r="K9" s="13">
        <f t="shared" si="4"/>
        <v>0</v>
      </c>
      <c r="L9" s="13">
        <f aca="true" t="shared" si="5" ref="L9:S9">L36</f>
        <v>0</v>
      </c>
      <c r="M9" s="13">
        <f t="shared" si="5"/>
        <v>0</v>
      </c>
      <c r="N9" s="13">
        <f t="shared" si="5"/>
        <v>0</v>
      </c>
      <c r="O9" s="13">
        <f t="shared" si="5"/>
        <v>0</v>
      </c>
      <c r="P9" s="13">
        <f t="shared" si="5"/>
        <v>0</v>
      </c>
      <c r="Q9" s="13">
        <f t="shared" si="5"/>
        <v>0</v>
      </c>
      <c r="R9" s="13">
        <f t="shared" si="5"/>
        <v>0</v>
      </c>
      <c r="S9" s="12">
        <f t="shared" si="5"/>
        <v>0</v>
      </c>
    </row>
    <row r="10" spans="1:19" ht="12.75">
      <c r="A10" s="59" t="s">
        <v>43</v>
      </c>
      <c r="B10" s="78">
        <f aca="true" t="shared" si="6" ref="B10:K10">B48</f>
        <v>0</v>
      </c>
      <c r="C10" s="78">
        <f t="shared" si="6"/>
        <v>0</v>
      </c>
      <c r="D10" s="78">
        <f t="shared" si="6"/>
        <v>0</v>
      </c>
      <c r="E10" s="78">
        <f t="shared" si="6"/>
        <v>0</v>
      </c>
      <c r="F10" s="13">
        <f t="shared" si="6"/>
        <v>0</v>
      </c>
      <c r="G10" s="13">
        <f t="shared" si="6"/>
        <v>0</v>
      </c>
      <c r="H10" s="13">
        <f t="shared" si="6"/>
        <v>0</v>
      </c>
      <c r="I10" s="13">
        <f t="shared" si="6"/>
        <v>0</v>
      </c>
      <c r="J10" s="13">
        <f t="shared" si="6"/>
        <v>0</v>
      </c>
      <c r="K10" s="13">
        <f t="shared" si="6"/>
        <v>0</v>
      </c>
      <c r="L10" s="13">
        <f aca="true" t="shared" si="7" ref="L10:S10">L48</f>
        <v>0</v>
      </c>
      <c r="M10" s="13">
        <f t="shared" si="7"/>
        <v>0</v>
      </c>
      <c r="N10" s="13">
        <f t="shared" si="7"/>
        <v>0</v>
      </c>
      <c r="O10" s="13">
        <f t="shared" si="7"/>
        <v>0</v>
      </c>
      <c r="P10" s="13">
        <f t="shared" si="7"/>
        <v>0</v>
      </c>
      <c r="Q10" s="13">
        <f t="shared" si="7"/>
        <v>0</v>
      </c>
      <c r="R10" s="13">
        <f t="shared" si="7"/>
        <v>0</v>
      </c>
      <c r="S10" s="12">
        <f t="shared" si="7"/>
        <v>0</v>
      </c>
    </row>
    <row r="11" spans="1:19" ht="12.75">
      <c r="A11" s="59" t="s">
        <v>44</v>
      </c>
      <c r="B11" s="78">
        <f aca="true" t="shared" si="8" ref="B11:K11">B42</f>
        <v>0</v>
      </c>
      <c r="C11" s="78">
        <f t="shared" si="8"/>
        <v>0</v>
      </c>
      <c r="D11" s="78">
        <f t="shared" si="8"/>
        <v>0</v>
      </c>
      <c r="E11" s="78">
        <f t="shared" si="8"/>
        <v>0</v>
      </c>
      <c r="F11" s="13">
        <f t="shared" si="8"/>
        <v>0</v>
      </c>
      <c r="G11" s="13">
        <f t="shared" si="8"/>
        <v>0</v>
      </c>
      <c r="H11" s="13">
        <f t="shared" si="8"/>
        <v>0</v>
      </c>
      <c r="I11" s="13">
        <f t="shared" si="8"/>
        <v>0</v>
      </c>
      <c r="J11" s="13">
        <f t="shared" si="8"/>
        <v>0</v>
      </c>
      <c r="K11" s="13">
        <f t="shared" si="8"/>
        <v>0</v>
      </c>
      <c r="L11" s="13">
        <f aca="true" t="shared" si="9" ref="L11:S11">L42</f>
        <v>0</v>
      </c>
      <c r="M11" s="13">
        <f t="shared" si="9"/>
        <v>0</v>
      </c>
      <c r="N11" s="13">
        <f t="shared" si="9"/>
        <v>0</v>
      </c>
      <c r="O11" s="13">
        <f t="shared" si="9"/>
        <v>0</v>
      </c>
      <c r="P11" s="13">
        <f t="shared" si="9"/>
        <v>0</v>
      </c>
      <c r="Q11" s="13">
        <f t="shared" si="9"/>
        <v>0</v>
      </c>
      <c r="R11" s="13">
        <f t="shared" si="9"/>
        <v>0</v>
      </c>
      <c r="S11" s="12">
        <f t="shared" si="9"/>
        <v>0</v>
      </c>
    </row>
    <row r="12" spans="1:19" ht="12.75">
      <c r="A12" s="47" t="s">
        <v>25</v>
      </c>
      <c r="B12" s="2">
        <f aca="true" t="shared" si="10" ref="B12:K12">B30</f>
        <v>0</v>
      </c>
      <c r="C12" s="2">
        <f t="shared" si="10"/>
        <v>0</v>
      </c>
      <c r="D12" s="2">
        <f t="shared" si="10"/>
        <v>0</v>
      </c>
      <c r="E12" s="2">
        <f t="shared" si="10"/>
        <v>0</v>
      </c>
      <c r="F12" s="2">
        <f t="shared" si="10"/>
        <v>0</v>
      </c>
      <c r="G12" s="2">
        <f t="shared" si="10"/>
        <v>0</v>
      </c>
      <c r="H12" s="2">
        <f t="shared" si="10"/>
        <v>0</v>
      </c>
      <c r="I12" s="2">
        <f t="shared" si="10"/>
        <v>0</v>
      </c>
      <c r="J12" s="2">
        <f t="shared" si="10"/>
        <v>0</v>
      </c>
      <c r="K12" s="2">
        <f t="shared" si="10"/>
        <v>0</v>
      </c>
      <c r="L12" s="2">
        <f aca="true" t="shared" si="11" ref="L12:S12">L30</f>
        <v>0</v>
      </c>
      <c r="M12" s="2">
        <f t="shared" si="11"/>
        <v>0</v>
      </c>
      <c r="N12" s="2">
        <f t="shared" si="11"/>
        <v>0</v>
      </c>
      <c r="O12" s="2">
        <f t="shared" si="11"/>
        <v>0</v>
      </c>
      <c r="P12" s="2">
        <f t="shared" si="11"/>
        <v>0</v>
      </c>
      <c r="Q12" s="2">
        <f t="shared" si="11"/>
        <v>0</v>
      </c>
      <c r="R12" s="2">
        <f t="shared" si="11"/>
        <v>0</v>
      </c>
      <c r="S12" s="5">
        <f t="shared" si="11"/>
        <v>0</v>
      </c>
    </row>
    <row r="13" spans="1:19" ht="12.75">
      <c r="A13" s="46" t="s">
        <v>24</v>
      </c>
      <c r="B13" s="42"/>
      <c r="C13" s="42"/>
      <c r="D13" s="42"/>
      <c r="E13" s="42"/>
      <c r="F13" s="42"/>
      <c r="G13" s="42"/>
      <c r="H13" s="42"/>
      <c r="I13" s="42"/>
      <c r="J13" s="42"/>
      <c r="K13" s="42"/>
      <c r="L13" s="42"/>
      <c r="M13" s="42"/>
      <c r="N13" s="42"/>
      <c r="O13" s="42"/>
      <c r="P13" s="42"/>
      <c r="Q13" s="42"/>
      <c r="R13" s="42"/>
      <c r="S13" s="28"/>
    </row>
    <row r="14" spans="1:19" ht="12.75">
      <c r="A14" s="47" t="s">
        <v>23</v>
      </c>
      <c r="B14" s="2"/>
      <c r="C14" s="2"/>
      <c r="D14" s="2"/>
      <c r="E14" s="2"/>
      <c r="F14" s="2"/>
      <c r="G14" s="2"/>
      <c r="H14" s="2"/>
      <c r="I14" s="2"/>
      <c r="J14" s="2"/>
      <c r="K14" s="2"/>
      <c r="L14" s="2"/>
      <c r="M14" s="2"/>
      <c r="N14" s="2"/>
      <c r="O14" s="2"/>
      <c r="P14" s="2"/>
      <c r="Q14" s="2"/>
      <c r="R14" s="2"/>
      <c r="S14" s="5"/>
    </row>
    <row r="15" spans="1:19" ht="12.75">
      <c r="A15" s="48" t="s">
        <v>22</v>
      </c>
      <c r="B15" s="17"/>
      <c r="C15" s="17"/>
      <c r="D15" s="17"/>
      <c r="E15" s="17"/>
      <c r="F15" s="17"/>
      <c r="G15" s="17"/>
      <c r="H15" s="114"/>
      <c r="I15" s="114"/>
      <c r="J15" s="114"/>
      <c r="K15" s="114"/>
      <c r="L15" s="114"/>
      <c r="M15" s="114"/>
      <c r="N15" s="114"/>
      <c r="O15" s="114"/>
      <c r="P15" s="114"/>
      <c r="Q15" s="114"/>
      <c r="R15" s="114"/>
      <c r="S15" s="115"/>
    </row>
    <row r="16" spans="1:19" ht="12.75">
      <c r="A16" s="5"/>
      <c r="B16" s="42"/>
      <c r="C16" s="42"/>
      <c r="D16" s="42"/>
      <c r="E16" s="42"/>
      <c r="F16" s="42"/>
      <c r="G16" s="42"/>
      <c r="H16" s="42"/>
      <c r="I16" s="42"/>
      <c r="J16" s="42"/>
      <c r="K16" s="42"/>
      <c r="L16" s="42"/>
      <c r="M16" s="42"/>
      <c r="N16" s="42"/>
      <c r="O16" s="42"/>
      <c r="P16" s="42"/>
      <c r="Q16" s="42"/>
      <c r="R16" s="42"/>
      <c r="S16" s="28"/>
    </row>
    <row r="17" spans="1:19" ht="12.75" outlineLevel="1">
      <c r="A17" s="41" t="s">
        <v>21</v>
      </c>
      <c r="B17" s="40"/>
      <c r="C17" s="40"/>
      <c r="D17" s="40"/>
      <c r="E17" s="40"/>
      <c r="F17" s="40"/>
      <c r="G17" s="40"/>
      <c r="H17" s="40"/>
      <c r="I17" s="40"/>
      <c r="J17" s="40"/>
      <c r="K17" s="40"/>
      <c r="L17" s="40"/>
      <c r="M17" s="40"/>
      <c r="N17" s="40"/>
      <c r="O17" s="40"/>
      <c r="P17" s="40"/>
      <c r="Q17" s="40"/>
      <c r="R17" s="40"/>
      <c r="S17" s="39"/>
    </row>
    <row r="18" spans="1:19" ht="12.75" outlineLevel="1">
      <c r="A18" s="47" t="s">
        <v>12</v>
      </c>
      <c r="B18" s="30"/>
      <c r="C18" s="30"/>
      <c r="D18" s="30"/>
      <c r="E18" s="30"/>
      <c r="F18" s="30"/>
      <c r="G18" s="30"/>
      <c r="H18" s="30"/>
      <c r="I18" s="30"/>
      <c r="J18" s="30"/>
      <c r="K18" s="30"/>
      <c r="L18" s="30"/>
      <c r="M18" s="30"/>
      <c r="N18" s="30"/>
      <c r="O18" s="30"/>
      <c r="P18" s="30"/>
      <c r="Q18" s="30"/>
      <c r="R18" s="30"/>
      <c r="S18" s="5"/>
    </row>
    <row r="19" spans="1:19" ht="25.5" outlineLevel="1">
      <c r="A19" s="47" t="s">
        <v>16</v>
      </c>
      <c r="B19" s="30"/>
      <c r="C19" s="30"/>
      <c r="D19" s="30"/>
      <c r="E19" s="30"/>
      <c r="F19" s="30"/>
      <c r="G19" s="30"/>
      <c r="H19" s="30"/>
      <c r="I19" s="30"/>
      <c r="J19" s="30"/>
      <c r="K19" s="30"/>
      <c r="L19" s="30"/>
      <c r="M19" s="30"/>
      <c r="N19" s="30"/>
      <c r="O19" s="30"/>
      <c r="P19" s="30"/>
      <c r="Q19" s="30"/>
      <c r="R19" s="30"/>
      <c r="S19" s="5"/>
    </row>
    <row r="20" spans="1:19" ht="12.75" outlineLevel="1">
      <c r="A20" s="46" t="s">
        <v>20</v>
      </c>
      <c r="B20" s="29">
        <f aca="true" t="shared" si="12" ref="B20:K20">SUM(B18:B19)</f>
        <v>0</v>
      </c>
      <c r="C20" s="29">
        <f t="shared" si="12"/>
        <v>0</v>
      </c>
      <c r="D20" s="29">
        <f t="shared" si="12"/>
        <v>0</v>
      </c>
      <c r="E20" s="29">
        <f t="shared" si="12"/>
        <v>0</v>
      </c>
      <c r="F20" s="29">
        <f t="shared" si="12"/>
        <v>0</v>
      </c>
      <c r="G20" s="29">
        <f t="shared" si="12"/>
        <v>0</v>
      </c>
      <c r="H20" s="29">
        <f t="shared" si="12"/>
        <v>0</v>
      </c>
      <c r="I20" s="29">
        <f t="shared" si="12"/>
        <v>0</v>
      </c>
      <c r="J20" s="29">
        <f t="shared" si="12"/>
        <v>0</v>
      </c>
      <c r="K20" s="29">
        <f t="shared" si="12"/>
        <v>0</v>
      </c>
      <c r="L20" s="29">
        <f aca="true" t="shared" si="13" ref="L20:S20">SUM(L18:L19)</f>
        <v>0</v>
      </c>
      <c r="M20" s="29">
        <f t="shared" si="13"/>
        <v>0</v>
      </c>
      <c r="N20" s="29">
        <f t="shared" si="13"/>
        <v>0</v>
      </c>
      <c r="O20" s="29">
        <f t="shared" si="13"/>
        <v>0</v>
      </c>
      <c r="P20" s="29">
        <f t="shared" si="13"/>
        <v>0</v>
      </c>
      <c r="Q20" s="29">
        <f t="shared" si="13"/>
        <v>0</v>
      </c>
      <c r="R20" s="29">
        <f t="shared" si="13"/>
        <v>0</v>
      </c>
      <c r="S20" s="28">
        <f t="shared" si="13"/>
        <v>0</v>
      </c>
    </row>
    <row r="21" spans="1:19" ht="12.75" outlineLevel="1">
      <c r="A21" s="49" t="s">
        <v>14</v>
      </c>
      <c r="B21" s="27"/>
      <c r="C21" s="27"/>
      <c r="D21" s="27"/>
      <c r="E21" s="27"/>
      <c r="F21" s="27"/>
      <c r="G21" s="27"/>
      <c r="H21" s="27"/>
      <c r="I21" s="27"/>
      <c r="J21" s="27"/>
      <c r="K21" s="27"/>
      <c r="L21" s="27"/>
      <c r="M21" s="27"/>
      <c r="N21" s="27"/>
      <c r="O21" s="27"/>
      <c r="P21" s="27"/>
      <c r="Q21" s="27"/>
      <c r="R21" s="27"/>
      <c r="S21" s="26"/>
    </row>
    <row r="22" spans="1:19" ht="12.75" outlineLevel="1">
      <c r="A22" s="5"/>
      <c r="B22" s="42"/>
      <c r="C22" s="42"/>
      <c r="D22" s="42"/>
      <c r="E22" s="42"/>
      <c r="F22" s="42"/>
      <c r="G22" s="42"/>
      <c r="H22" s="42"/>
      <c r="I22" s="42"/>
      <c r="J22" s="42"/>
      <c r="K22" s="42"/>
      <c r="L22" s="42"/>
      <c r="M22" s="42"/>
      <c r="N22" s="42"/>
      <c r="O22" s="42"/>
      <c r="P22" s="42"/>
      <c r="Q22" s="42"/>
      <c r="R22" s="42"/>
      <c r="S22" s="28"/>
    </row>
    <row r="23" spans="1:19" ht="12.75" outlineLevel="1">
      <c r="A23" s="38" t="s">
        <v>19</v>
      </c>
      <c r="B23" s="37"/>
      <c r="C23" s="37"/>
      <c r="D23" s="37"/>
      <c r="E23" s="37"/>
      <c r="F23" s="37"/>
      <c r="G23" s="37"/>
      <c r="H23" s="37"/>
      <c r="I23" s="37"/>
      <c r="J23" s="37"/>
      <c r="K23" s="37"/>
      <c r="L23" s="37"/>
      <c r="M23" s="37"/>
      <c r="N23" s="37"/>
      <c r="O23" s="37"/>
      <c r="P23" s="37"/>
      <c r="Q23" s="37"/>
      <c r="R23" s="37"/>
      <c r="S23" s="36"/>
    </row>
    <row r="24" spans="1:19" ht="12.75" outlineLevel="1">
      <c r="A24" s="47" t="s">
        <v>12</v>
      </c>
      <c r="B24" s="30"/>
      <c r="C24" s="30"/>
      <c r="D24" s="30"/>
      <c r="E24" s="30"/>
      <c r="F24" s="30"/>
      <c r="G24" s="30"/>
      <c r="H24" s="30"/>
      <c r="I24" s="30"/>
      <c r="J24" s="30"/>
      <c r="K24" s="30"/>
      <c r="L24" s="30"/>
      <c r="M24" s="30"/>
      <c r="N24" s="30"/>
      <c r="O24" s="30"/>
      <c r="P24" s="30"/>
      <c r="Q24" s="30"/>
      <c r="R24" s="30"/>
      <c r="S24" s="5"/>
    </row>
    <row r="25" spans="1:19" ht="25.5" outlineLevel="1">
      <c r="A25" s="47" t="s">
        <v>16</v>
      </c>
      <c r="B25" s="30"/>
      <c r="C25" s="30"/>
      <c r="D25" s="30"/>
      <c r="E25" s="30"/>
      <c r="F25" s="30"/>
      <c r="G25" s="30"/>
      <c r="H25" s="30"/>
      <c r="I25" s="30"/>
      <c r="J25" s="30"/>
      <c r="K25" s="30"/>
      <c r="L25" s="30"/>
      <c r="M25" s="30"/>
      <c r="N25" s="30"/>
      <c r="O25" s="30"/>
      <c r="P25" s="30"/>
      <c r="Q25" s="30"/>
      <c r="R25" s="30"/>
      <c r="S25" s="5"/>
    </row>
    <row r="26" spans="1:19" ht="12.75" outlineLevel="1">
      <c r="A26" s="46" t="s">
        <v>18</v>
      </c>
      <c r="B26" s="29">
        <f aca="true" t="shared" si="14" ref="B26:K26">SUM(B24:B25)</f>
        <v>0</v>
      </c>
      <c r="C26" s="29">
        <f t="shared" si="14"/>
        <v>0</v>
      </c>
      <c r="D26" s="29">
        <f t="shared" si="14"/>
        <v>0</v>
      </c>
      <c r="E26" s="29">
        <f t="shared" si="14"/>
        <v>0</v>
      </c>
      <c r="F26" s="29">
        <f t="shared" si="14"/>
        <v>0</v>
      </c>
      <c r="G26" s="29">
        <f t="shared" si="14"/>
        <v>0</v>
      </c>
      <c r="H26" s="29">
        <f t="shared" si="14"/>
        <v>0</v>
      </c>
      <c r="I26" s="29">
        <f t="shared" si="14"/>
        <v>0</v>
      </c>
      <c r="J26" s="29">
        <f t="shared" si="14"/>
        <v>0</v>
      </c>
      <c r="K26" s="29">
        <f t="shared" si="14"/>
        <v>0</v>
      </c>
      <c r="L26" s="29">
        <f aca="true" t="shared" si="15" ref="L26:S26">SUM(L24:L25)</f>
        <v>0</v>
      </c>
      <c r="M26" s="29">
        <f t="shared" si="15"/>
        <v>0</v>
      </c>
      <c r="N26" s="29">
        <f t="shared" si="15"/>
        <v>0</v>
      </c>
      <c r="O26" s="29">
        <f t="shared" si="15"/>
        <v>0</v>
      </c>
      <c r="P26" s="29">
        <f t="shared" si="15"/>
        <v>0</v>
      </c>
      <c r="Q26" s="29">
        <f t="shared" si="15"/>
        <v>0</v>
      </c>
      <c r="R26" s="29">
        <f t="shared" si="15"/>
        <v>0</v>
      </c>
      <c r="S26" s="28">
        <f t="shared" si="15"/>
        <v>0</v>
      </c>
    </row>
    <row r="27" spans="1:19" ht="12.75" outlineLevel="1">
      <c r="A27" s="51" t="s">
        <v>14</v>
      </c>
      <c r="B27" s="35"/>
      <c r="C27" s="35"/>
      <c r="D27" s="35"/>
      <c r="E27" s="35"/>
      <c r="F27" s="35"/>
      <c r="G27" s="35"/>
      <c r="H27" s="35"/>
      <c r="I27" s="35"/>
      <c r="J27" s="35"/>
      <c r="K27" s="35"/>
      <c r="L27" s="35"/>
      <c r="M27" s="35"/>
      <c r="N27" s="35"/>
      <c r="O27" s="35"/>
      <c r="P27" s="35"/>
      <c r="Q27" s="35"/>
      <c r="R27" s="35"/>
      <c r="S27" s="34"/>
    </row>
    <row r="28" spans="1:19" ht="12.75" outlineLevel="1">
      <c r="A28" s="5"/>
      <c r="B28" s="42"/>
      <c r="C28" s="42"/>
      <c r="D28" s="42"/>
      <c r="E28" s="42"/>
      <c r="F28" s="42"/>
      <c r="G28" s="42"/>
      <c r="H28" s="42"/>
      <c r="I28" s="42"/>
      <c r="J28" s="42"/>
      <c r="K28" s="42"/>
      <c r="L28" s="42"/>
      <c r="M28" s="42"/>
      <c r="N28" s="42"/>
      <c r="O28" s="42"/>
      <c r="P28" s="42"/>
      <c r="Q28" s="42"/>
      <c r="R28" s="42"/>
      <c r="S28" s="28"/>
    </row>
    <row r="29" spans="1:19" ht="12.75" outlineLevel="1">
      <c r="A29" s="33" t="s">
        <v>17</v>
      </c>
      <c r="B29" s="32"/>
      <c r="C29" s="32"/>
      <c r="D29" s="32"/>
      <c r="E29" s="32"/>
      <c r="F29" s="32"/>
      <c r="G29" s="32"/>
      <c r="H29" s="32"/>
      <c r="I29" s="32"/>
      <c r="J29" s="32"/>
      <c r="K29" s="32"/>
      <c r="L29" s="32"/>
      <c r="M29" s="32"/>
      <c r="N29" s="32"/>
      <c r="O29" s="32"/>
      <c r="P29" s="32"/>
      <c r="Q29" s="32"/>
      <c r="R29" s="32"/>
      <c r="S29" s="31"/>
    </row>
    <row r="30" spans="1:19" ht="12.75" outlineLevel="1">
      <c r="A30" s="47" t="s">
        <v>12</v>
      </c>
      <c r="B30" s="30"/>
      <c r="C30" s="30"/>
      <c r="D30" s="30"/>
      <c r="E30" s="30"/>
      <c r="F30" s="30"/>
      <c r="G30" s="30"/>
      <c r="H30" s="30"/>
      <c r="I30" s="30"/>
      <c r="J30" s="30"/>
      <c r="K30" s="30"/>
      <c r="L30" s="30"/>
      <c r="M30" s="30"/>
      <c r="N30" s="30"/>
      <c r="O30" s="30"/>
      <c r="P30" s="30"/>
      <c r="Q30" s="30"/>
      <c r="R30" s="30"/>
      <c r="S30" s="5"/>
    </row>
    <row r="31" spans="1:19" ht="25.5" outlineLevel="1">
      <c r="A31" s="47" t="s">
        <v>16</v>
      </c>
      <c r="B31" s="30"/>
      <c r="C31" s="30"/>
      <c r="D31" s="30"/>
      <c r="E31" s="30"/>
      <c r="F31" s="30"/>
      <c r="G31" s="30"/>
      <c r="H31" s="30"/>
      <c r="I31" s="30"/>
      <c r="J31" s="30"/>
      <c r="K31" s="30"/>
      <c r="L31" s="30"/>
      <c r="M31" s="30"/>
      <c r="N31" s="30"/>
      <c r="O31" s="30"/>
      <c r="P31" s="30"/>
      <c r="Q31" s="30"/>
      <c r="R31" s="30"/>
      <c r="S31" s="5"/>
    </row>
    <row r="32" spans="1:19" ht="12.75" outlineLevel="1">
      <c r="A32" s="46" t="s">
        <v>15</v>
      </c>
      <c r="B32" s="29">
        <f aca="true" t="shared" si="16" ref="B32:K32">SUM(B30:B31)</f>
        <v>0</v>
      </c>
      <c r="C32" s="29">
        <f t="shared" si="16"/>
        <v>0</v>
      </c>
      <c r="D32" s="29">
        <f t="shared" si="16"/>
        <v>0</v>
      </c>
      <c r="E32" s="29">
        <f t="shared" si="16"/>
        <v>0</v>
      </c>
      <c r="F32" s="29">
        <f t="shared" si="16"/>
        <v>0</v>
      </c>
      <c r="G32" s="29">
        <f t="shared" si="16"/>
        <v>0</v>
      </c>
      <c r="H32" s="29">
        <f t="shared" si="16"/>
        <v>0</v>
      </c>
      <c r="I32" s="29">
        <f t="shared" si="16"/>
        <v>0</v>
      </c>
      <c r="J32" s="29">
        <f t="shared" si="16"/>
        <v>0</v>
      </c>
      <c r="K32" s="29">
        <f t="shared" si="16"/>
        <v>0</v>
      </c>
      <c r="L32" s="29">
        <f aca="true" t="shared" si="17" ref="L32:S32">SUM(L30:L31)</f>
        <v>0</v>
      </c>
      <c r="M32" s="29">
        <f t="shared" si="17"/>
        <v>0</v>
      </c>
      <c r="N32" s="29">
        <f t="shared" si="17"/>
        <v>0</v>
      </c>
      <c r="O32" s="29">
        <f t="shared" si="17"/>
        <v>0</v>
      </c>
      <c r="P32" s="29">
        <f t="shared" si="17"/>
        <v>0</v>
      </c>
      <c r="Q32" s="29">
        <f t="shared" si="17"/>
        <v>0</v>
      </c>
      <c r="R32" s="29">
        <f t="shared" si="17"/>
        <v>0</v>
      </c>
      <c r="S32" s="28">
        <f t="shared" si="17"/>
        <v>0</v>
      </c>
    </row>
    <row r="33" spans="1:19" ht="12.75" outlineLevel="1">
      <c r="A33" s="49" t="s">
        <v>14</v>
      </c>
      <c r="B33" s="27"/>
      <c r="C33" s="27"/>
      <c r="D33" s="27"/>
      <c r="E33" s="27"/>
      <c r="F33" s="27"/>
      <c r="G33" s="27"/>
      <c r="H33" s="27"/>
      <c r="I33" s="27"/>
      <c r="J33" s="27"/>
      <c r="K33" s="27"/>
      <c r="L33" s="27"/>
      <c r="M33" s="27"/>
      <c r="N33" s="27"/>
      <c r="O33" s="27"/>
      <c r="P33" s="27"/>
      <c r="Q33" s="27"/>
      <c r="R33" s="27"/>
      <c r="S33" s="26"/>
    </row>
    <row r="34" spans="1:19" ht="12.75">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c r="C36" s="30"/>
      <c r="D36" s="30"/>
      <c r="E36" s="30"/>
      <c r="F36" s="30"/>
      <c r="G36" s="30"/>
      <c r="H36" s="30"/>
      <c r="I36" s="30"/>
      <c r="J36" s="30"/>
      <c r="K36" s="30"/>
      <c r="L36" s="30"/>
      <c r="M36" s="30"/>
      <c r="N36" s="30"/>
      <c r="O36" s="30"/>
      <c r="P36" s="30"/>
      <c r="Q36" s="30"/>
      <c r="R36" s="30"/>
      <c r="S36" s="5"/>
    </row>
    <row r="37" spans="1:19" ht="25.5">
      <c r="A37" s="47" t="s">
        <v>16</v>
      </c>
      <c r="B37" s="30"/>
      <c r="C37" s="30"/>
      <c r="D37" s="30"/>
      <c r="E37" s="30"/>
      <c r="F37" s="30"/>
      <c r="G37" s="30"/>
      <c r="H37" s="30"/>
      <c r="I37" s="30"/>
      <c r="J37" s="30"/>
      <c r="K37" s="30"/>
      <c r="L37" s="30"/>
      <c r="M37" s="30"/>
      <c r="N37" s="30"/>
      <c r="O37" s="30"/>
      <c r="P37" s="30"/>
      <c r="Q37" s="30"/>
      <c r="R37" s="30"/>
      <c r="S37" s="5"/>
    </row>
    <row r="38" spans="1:19" ht="12.75">
      <c r="A38" s="46" t="s">
        <v>18</v>
      </c>
      <c r="B38" s="29">
        <f aca="true" t="shared" si="18" ref="B38:K38">SUM(B36:B37)</f>
        <v>0</v>
      </c>
      <c r="C38" s="29">
        <f t="shared" si="18"/>
        <v>0</v>
      </c>
      <c r="D38" s="29">
        <f t="shared" si="18"/>
        <v>0</v>
      </c>
      <c r="E38" s="29">
        <f t="shared" si="18"/>
        <v>0</v>
      </c>
      <c r="F38" s="29">
        <f t="shared" si="18"/>
        <v>0</v>
      </c>
      <c r="G38" s="29">
        <f t="shared" si="18"/>
        <v>0</v>
      </c>
      <c r="H38" s="29">
        <f t="shared" si="18"/>
        <v>0</v>
      </c>
      <c r="I38" s="29">
        <f t="shared" si="18"/>
        <v>0</v>
      </c>
      <c r="J38" s="29">
        <f t="shared" si="18"/>
        <v>0</v>
      </c>
      <c r="K38" s="29">
        <f t="shared" si="18"/>
        <v>0</v>
      </c>
      <c r="L38" s="29">
        <f aca="true" t="shared" si="19" ref="L38:S38">SUM(L36:L37)</f>
        <v>0</v>
      </c>
      <c r="M38" s="29">
        <f t="shared" si="19"/>
        <v>0</v>
      </c>
      <c r="N38" s="29">
        <f t="shared" si="19"/>
        <v>0</v>
      </c>
      <c r="O38" s="29">
        <f t="shared" si="19"/>
        <v>0</v>
      </c>
      <c r="P38" s="29">
        <f t="shared" si="19"/>
        <v>0</v>
      </c>
      <c r="Q38" s="29">
        <f t="shared" si="19"/>
        <v>0</v>
      </c>
      <c r="R38" s="29">
        <f t="shared" si="19"/>
        <v>0</v>
      </c>
      <c r="S38" s="28">
        <f t="shared" si="19"/>
        <v>0</v>
      </c>
    </row>
    <row r="39" spans="1:19" ht="12.75">
      <c r="A39" s="51" t="s">
        <v>14</v>
      </c>
      <c r="B39" s="35">
        <f aca="true" t="shared" si="20" ref="B39:K39">B38-B66</f>
        <v>0</v>
      </c>
      <c r="C39" s="35">
        <f t="shared" si="20"/>
        <v>0</v>
      </c>
      <c r="D39" s="35">
        <f t="shared" si="20"/>
        <v>0</v>
      </c>
      <c r="E39" s="35">
        <f t="shared" si="20"/>
        <v>0</v>
      </c>
      <c r="F39" s="35">
        <f t="shared" si="20"/>
        <v>0</v>
      </c>
      <c r="G39" s="35">
        <f t="shared" si="20"/>
        <v>0</v>
      </c>
      <c r="H39" s="35">
        <f t="shared" si="20"/>
        <v>0</v>
      </c>
      <c r="I39" s="35">
        <f t="shared" si="20"/>
        <v>0</v>
      </c>
      <c r="J39" s="35">
        <f t="shared" si="20"/>
        <v>0</v>
      </c>
      <c r="K39" s="35">
        <f t="shared" si="20"/>
        <v>0</v>
      </c>
      <c r="L39" s="35">
        <f aca="true" t="shared" si="21" ref="L39:S39">L38-L66</f>
        <v>0</v>
      </c>
      <c r="M39" s="35">
        <f t="shared" si="21"/>
        <v>0</v>
      </c>
      <c r="N39" s="35">
        <f t="shared" si="21"/>
        <v>0</v>
      </c>
      <c r="O39" s="35">
        <f t="shared" si="21"/>
        <v>0</v>
      </c>
      <c r="P39" s="35">
        <f t="shared" si="21"/>
        <v>0</v>
      </c>
      <c r="Q39" s="35">
        <f t="shared" si="21"/>
        <v>0</v>
      </c>
      <c r="R39" s="35">
        <f t="shared" si="21"/>
        <v>0</v>
      </c>
      <c r="S39" s="34">
        <f t="shared" si="21"/>
        <v>0</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c r="E42" s="30"/>
      <c r="F42" s="30"/>
      <c r="G42" s="30"/>
      <c r="H42" s="30"/>
      <c r="I42" s="30"/>
      <c r="J42" s="30"/>
      <c r="K42" s="30"/>
      <c r="L42" s="30"/>
      <c r="M42" s="30"/>
      <c r="N42" s="30"/>
      <c r="O42" s="30"/>
      <c r="P42" s="30"/>
      <c r="Q42" s="30"/>
      <c r="R42" s="30"/>
      <c r="S42" s="5"/>
    </row>
    <row r="43" spans="1:19" ht="25.5">
      <c r="A43" s="47" t="s">
        <v>16</v>
      </c>
      <c r="B43" s="30"/>
      <c r="C43" s="30"/>
      <c r="D43" s="30"/>
      <c r="E43" s="30"/>
      <c r="F43" s="30"/>
      <c r="G43" s="30"/>
      <c r="H43" s="30"/>
      <c r="I43" s="30"/>
      <c r="J43" s="30"/>
      <c r="K43" s="30"/>
      <c r="L43" s="30"/>
      <c r="M43" s="30"/>
      <c r="N43" s="30"/>
      <c r="O43" s="30"/>
      <c r="P43" s="30"/>
      <c r="Q43" s="30"/>
      <c r="R43" s="30"/>
      <c r="S43" s="5"/>
    </row>
    <row r="44" spans="1:19" ht="12.75">
      <c r="A44" s="46" t="s">
        <v>18</v>
      </c>
      <c r="B44" s="29">
        <f aca="true" t="shared" si="22" ref="B44:K44">SUM(B42:B43)</f>
        <v>0</v>
      </c>
      <c r="C44" s="29">
        <f t="shared" si="22"/>
        <v>0</v>
      </c>
      <c r="D44" s="29">
        <f t="shared" si="22"/>
        <v>0</v>
      </c>
      <c r="E44" s="29">
        <f t="shared" si="22"/>
        <v>0</v>
      </c>
      <c r="F44" s="29">
        <f t="shared" si="22"/>
        <v>0</v>
      </c>
      <c r="G44" s="29">
        <f t="shared" si="22"/>
        <v>0</v>
      </c>
      <c r="H44" s="29">
        <f t="shared" si="22"/>
        <v>0</v>
      </c>
      <c r="I44" s="29">
        <f t="shared" si="22"/>
        <v>0</v>
      </c>
      <c r="J44" s="29">
        <f t="shared" si="22"/>
        <v>0</v>
      </c>
      <c r="K44" s="29">
        <f t="shared" si="22"/>
        <v>0</v>
      </c>
      <c r="L44" s="29">
        <f aca="true" t="shared" si="23" ref="L44:S44">SUM(L42:L43)</f>
        <v>0</v>
      </c>
      <c r="M44" s="29">
        <f t="shared" si="23"/>
        <v>0</v>
      </c>
      <c r="N44" s="29">
        <f t="shared" si="23"/>
        <v>0</v>
      </c>
      <c r="O44" s="29">
        <f t="shared" si="23"/>
        <v>0</v>
      </c>
      <c r="P44" s="29">
        <f t="shared" si="23"/>
        <v>0</v>
      </c>
      <c r="Q44" s="29">
        <f t="shared" si="23"/>
        <v>0</v>
      </c>
      <c r="R44" s="29">
        <f t="shared" si="23"/>
        <v>0</v>
      </c>
      <c r="S44" s="28">
        <f t="shared" si="23"/>
        <v>0</v>
      </c>
    </row>
    <row r="45" spans="1:20" ht="12.75">
      <c r="A45" s="51" t="s">
        <v>14</v>
      </c>
      <c r="B45" s="35">
        <f aca="true" t="shared" si="24" ref="B45:K45">B44-B67</f>
        <v>0</v>
      </c>
      <c r="C45" s="35">
        <f t="shared" si="24"/>
        <v>0</v>
      </c>
      <c r="D45" s="35">
        <f t="shared" si="24"/>
        <v>0</v>
      </c>
      <c r="E45" s="35">
        <f t="shared" si="24"/>
        <v>0</v>
      </c>
      <c r="F45" s="35">
        <f t="shared" si="24"/>
        <v>0</v>
      </c>
      <c r="G45" s="35">
        <f t="shared" si="24"/>
        <v>0</v>
      </c>
      <c r="H45" s="35">
        <f t="shared" si="24"/>
        <v>0</v>
      </c>
      <c r="I45" s="35">
        <f t="shared" si="24"/>
        <v>0</v>
      </c>
      <c r="J45" s="35">
        <f t="shared" si="24"/>
        <v>0</v>
      </c>
      <c r="K45" s="35">
        <f t="shared" si="24"/>
        <v>0</v>
      </c>
      <c r="L45" s="35">
        <f aca="true" t="shared" si="25" ref="L45:S45">L44-L67</f>
        <v>0</v>
      </c>
      <c r="M45" s="35">
        <f t="shared" si="25"/>
        <v>0</v>
      </c>
      <c r="N45" s="35">
        <f t="shared" si="25"/>
        <v>0</v>
      </c>
      <c r="O45" s="35">
        <f t="shared" si="25"/>
        <v>0</v>
      </c>
      <c r="P45" s="35">
        <f t="shared" si="25"/>
        <v>0</v>
      </c>
      <c r="Q45" s="35">
        <f t="shared" si="25"/>
        <v>0</v>
      </c>
      <c r="R45" s="35">
        <f t="shared" si="25"/>
        <v>0</v>
      </c>
      <c r="S45" s="34">
        <f t="shared" si="25"/>
        <v>0</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c r="D48" s="2"/>
      <c r="E48" s="2"/>
      <c r="F48" s="2"/>
      <c r="G48" s="2"/>
      <c r="H48" s="2"/>
      <c r="I48" s="2"/>
      <c r="J48" s="2"/>
      <c r="K48" s="2"/>
      <c r="L48" s="2"/>
      <c r="M48" s="2"/>
      <c r="N48" s="2"/>
      <c r="O48" s="2"/>
      <c r="P48" s="2"/>
      <c r="Q48" s="2"/>
      <c r="R48" s="2"/>
      <c r="S48" s="5"/>
    </row>
    <row r="49" spans="1:19" ht="25.5">
      <c r="A49" s="47" t="s">
        <v>16</v>
      </c>
      <c r="B49" s="2"/>
      <c r="C49" s="2"/>
      <c r="D49" s="2"/>
      <c r="E49" s="2"/>
      <c r="F49" s="2"/>
      <c r="G49" s="2"/>
      <c r="H49" s="2"/>
      <c r="I49" s="2"/>
      <c r="J49" s="2"/>
      <c r="K49" s="2"/>
      <c r="L49" s="2"/>
      <c r="M49" s="2"/>
      <c r="N49" s="2"/>
      <c r="O49" s="2"/>
      <c r="P49" s="2"/>
      <c r="Q49" s="2"/>
      <c r="R49" s="2"/>
      <c r="S49" s="5"/>
    </row>
    <row r="50" spans="1:19" ht="12.75">
      <c r="A50" s="46" t="s">
        <v>18</v>
      </c>
      <c r="B50" s="29">
        <f aca="true" t="shared" si="26" ref="B50:K50">SUM(B48:B49)</f>
        <v>0</v>
      </c>
      <c r="C50" s="29">
        <f t="shared" si="26"/>
        <v>0</v>
      </c>
      <c r="D50" s="29">
        <f t="shared" si="26"/>
        <v>0</v>
      </c>
      <c r="E50" s="29">
        <f t="shared" si="26"/>
        <v>0</v>
      </c>
      <c r="F50" s="29">
        <f t="shared" si="26"/>
        <v>0</v>
      </c>
      <c r="G50" s="29">
        <f t="shared" si="26"/>
        <v>0</v>
      </c>
      <c r="H50" s="29">
        <f t="shared" si="26"/>
        <v>0</v>
      </c>
      <c r="I50" s="29">
        <f t="shared" si="26"/>
        <v>0</v>
      </c>
      <c r="J50" s="29">
        <f t="shared" si="26"/>
        <v>0</v>
      </c>
      <c r="K50" s="29">
        <f t="shared" si="26"/>
        <v>0</v>
      </c>
      <c r="L50" s="29">
        <f aca="true" t="shared" si="27" ref="L50:S50">SUM(L48:L49)</f>
        <v>0</v>
      </c>
      <c r="M50" s="29">
        <f t="shared" si="27"/>
        <v>0</v>
      </c>
      <c r="N50" s="29">
        <f t="shared" si="27"/>
        <v>0</v>
      </c>
      <c r="O50" s="29">
        <f t="shared" si="27"/>
        <v>0</v>
      </c>
      <c r="P50" s="29">
        <f t="shared" si="27"/>
        <v>0</v>
      </c>
      <c r="Q50" s="29">
        <f t="shared" si="27"/>
        <v>0</v>
      </c>
      <c r="R50" s="29">
        <f t="shared" si="27"/>
        <v>0</v>
      </c>
      <c r="S50" s="28">
        <f t="shared" si="27"/>
        <v>0</v>
      </c>
    </row>
    <row r="51" spans="1:19" ht="12.75">
      <c r="A51" s="51" t="s">
        <v>14</v>
      </c>
      <c r="B51" s="35">
        <f aca="true" t="shared" si="28" ref="B51:K51">B50-B68</f>
        <v>0</v>
      </c>
      <c r="C51" s="35">
        <f t="shared" si="28"/>
        <v>0</v>
      </c>
      <c r="D51" s="35">
        <f t="shared" si="28"/>
        <v>0</v>
      </c>
      <c r="E51" s="35">
        <f t="shared" si="28"/>
        <v>0</v>
      </c>
      <c r="F51" s="35">
        <f t="shared" si="28"/>
        <v>0</v>
      </c>
      <c r="G51" s="35">
        <f t="shared" si="28"/>
        <v>0</v>
      </c>
      <c r="H51" s="35">
        <f t="shared" si="28"/>
        <v>0</v>
      </c>
      <c r="I51" s="35">
        <f t="shared" si="28"/>
        <v>0</v>
      </c>
      <c r="J51" s="35">
        <f t="shared" si="28"/>
        <v>0</v>
      </c>
      <c r="K51" s="35">
        <f t="shared" si="28"/>
        <v>0</v>
      </c>
      <c r="L51" s="35">
        <f aca="true" t="shared" si="29" ref="L51:S51">L50-L68</f>
        <v>0</v>
      </c>
      <c r="M51" s="35">
        <f t="shared" si="29"/>
        <v>0</v>
      </c>
      <c r="N51" s="35">
        <f t="shared" si="29"/>
        <v>0</v>
      </c>
      <c r="O51" s="35">
        <f t="shared" si="29"/>
        <v>0</v>
      </c>
      <c r="P51" s="35">
        <f t="shared" si="29"/>
        <v>0</v>
      </c>
      <c r="Q51" s="35">
        <f t="shared" si="29"/>
        <v>0</v>
      </c>
      <c r="R51" s="35">
        <f t="shared" si="29"/>
        <v>0</v>
      </c>
      <c r="S51" s="34">
        <f t="shared" si="29"/>
        <v>0</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30" ref="B54:K54">SUM(B18,B24,B30,B36,B42,B48)</f>
        <v>0</v>
      </c>
      <c r="C54" s="66">
        <f t="shared" si="30"/>
        <v>0</v>
      </c>
      <c r="D54" s="66">
        <f t="shared" si="30"/>
        <v>0</v>
      </c>
      <c r="E54" s="66">
        <f t="shared" si="30"/>
        <v>0</v>
      </c>
      <c r="F54" s="66">
        <f t="shared" si="30"/>
        <v>0</v>
      </c>
      <c r="G54" s="66">
        <f t="shared" si="30"/>
        <v>0</v>
      </c>
      <c r="H54" s="66">
        <f t="shared" si="30"/>
        <v>0</v>
      </c>
      <c r="I54" s="66">
        <f t="shared" si="30"/>
        <v>0</v>
      </c>
      <c r="J54" s="66">
        <f t="shared" si="30"/>
        <v>0</v>
      </c>
      <c r="K54" s="66">
        <f t="shared" si="30"/>
        <v>0</v>
      </c>
      <c r="L54" s="66">
        <f aca="true" t="shared" si="31" ref="L54:S57">SUM(L18,L24,L30,L36,L42,L48)</f>
        <v>0</v>
      </c>
      <c r="M54" s="66">
        <f t="shared" si="31"/>
        <v>0</v>
      </c>
      <c r="N54" s="66">
        <f t="shared" si="31"/>
        <v>0</v>
      </c>
      <c r="O54" s="66">
        <f t="shared" si="31"/>
        <v>0</v>
      </c>
      <c r="P54" s="66">
        <f t="shared" si="31"/>
        <v>0</v>
      </c>
      <c r="Q54" s="66">
        <f t="shared" si="31"/>
        <v>0</v>
      </c>
      <c r="R54" s="66">
        <f t="shared" si="31"/>
        <v>0</v>
      </c>
      <c r="S54" s="67">
        <f t="shared" si="31"/>
        <v>0</v>
      </c>
    </row>
    <row r="55" spans="1:19" ht="12.75">
      <c r="A55" s="53" t="s">
        <v>11</v>
      </c>
      <c r="B55" s="66">
        <f aca="true" t="shared" si="32" ref="B55:K55">SUM(B19,B25,B31,B37,B43,B49)</f>
        <v>0</v>
      </c>
      <c r="C55" s="22">
        <f t="shared" si="32"/>
        <v>0</v>
      </c>
      <c r="D55" s="22">
        <f t="shared" si="32"/>
        <v>0</v>
      </c>
      <c r="E55" s="22">
        <f t="shared" si="32"/>
        <v>0</v>
      </c>
      <c r="F55" s="22">
        <f t="shared" si="32"/>
        <v>0</v>
      </c>
      <c r="G55" s="22">
        <f t="shared" si="32"/>
        <v>0</v>
      </c>
      <c r="H55" s="22">
        <f t="shared" si="32"/>
        <v>0</v>
      </c>
      <c r="I55" s="22">
        <f t="shared" si="32"/>
        <v>0</v>
      </c>
      <c r="J55" s="22">
        <f t="shared" si="32"/>
        <v>0</v>
      </c>
      <c r="K55" s="22">
        <f t="shared" si="32"/>
        <v>0</v>
      </c>
      <c r="L55" s="22">
        <f t="shared" si="31"/>
        <v>0</v>
      </c>
      <c r="M55" s="22">
        <f t="shared" si="31"/>
        <v>0</v>
      </c>
      <c r="N55" s="22">
        <f t="shared" si="31"/>
        <v>0</v>
      </c>
      <c r="O55" s="22">
        <f t="shared" si="31"/>
        <v>0</v>
      </c>
      <c r="P55" s="22">
        <f t="shared" si="31"/>
        <v>0</v>
      </c>
      <c r="Q55" s="22">
        <f t="shared" si="31"/>
        <v>0</v>
      </c>
      <c r="R55" s="22">
        <f t="shared" si="31"/>
        <v>0</v>
      </c>
      <c r="S55" s="21">
        <f t="shared" si="31"/>
        <v>0</v>
      </c>
    </row>
    <row r="56" spans="1:19" ht="12.75">
      <c r="A56" s="54" t="s">
        <v>10</v>
      </c>
      <c r="B56" s="66">
        <f aca="true" t="shared" si="33" ref="B56:K56">SUM(B20,B26,B32,B38,B44,B50)</f>
        <v>0</v>
      </c>
      <c r="C56" s="20">
        <f t="shared" si="33"/>
        <v>0</v>
      </c>
      <c r="D56" s="20">
        <f t="shared" si="33"/>
        <v>0</v>
      </c>
      <c r="E56" s="20">
        <f t="shared" si="33"/>
        <v>0</v>
      </c>
      <c r="F56" s="20">
        <f t="shared" si="33"/>
        <v>0</v>
      </c>
      <c r="G56" s="20">
        <f t="shared" si="33"/>
        <v>0</v>
      </c>
      <c r="H56" s="20">
        <f t="shared" si="33"/>
        <v>0</v>
      </c>
      <c r="I56" s="20">
        <f t="shared" si="33"/>
        <v>0</v>
      </c>
      <c r="J56" s="20">
        <f t="shared" si="33"/>
        <v>0</v>
      </c>
      <c r="K56" s="20">
        <f t="shared" si="33"/>
        <v>0</v>
      </c>
      <c r="L56" s="20">
        <f t="shared" si="31"/>
        <v>0</v>
      </c>
      <c r="M56" s="20">
        <f t="shared" si="31"/>
        <v>0</v>
      </c>
      <c r="N56" s="20">
        <f t="shared" si="31"/>
        <v>0</v>
      </c>
      <c r="O56" s="20">
        <f t="shared" si="31"/>
        <v>0</v>
      </c>
      <c r="P56" s="20">
        <f t="shared" si="31"/>
        <v>0</v>
      </c>
      <c r="Q56" s="20">
        <f t="shared" si="31"/>
        <v>0</v>
      </c>
      <c r="R56" s="20">
        <f t="shared" si="31"/>
        <v>0</v>
      </c>
      <c r="S56" s="19">
        <f t="shared" si="31"/>
        <v>0</v>
      </c>
    </row>
    <row r="57" spans="1:19" ht="12.75">
      <c r="A57" s="55" t="s">
        <v>9</v>
      </c>
      <c r="B57" s="66">
        <f aca="true" t="shared" si="34" ref="B57:K57">SUM(B21,B27,B33,B39,B45,B51)</f>
        <v>0</v>
      </c>
      <c r="C57" s="71">
        <f t="shared" si="34"/>
        <v>0</v>
      </c>
      <c r="D57" s="71">
        <f t="shared" si="34"/>
        <v>0</v>
      </c>
      <c r="E57" s="71">
        <f t="shared" si="34"/>
        <v>0</v>
      </c>
      <c r="F57" s="71">
        <f t="shared" si="34"/>
        <v>0</v>
      </c>
      <c r="G57" s="71">
        <f t="shared" si="34"/>
        <v>0</v>
      </c>
      <c r="H57" s="71">
        <f t="shared" si="34"/>
        <v>0</v>
      </c>
      <c r="I57" s="71">
        <f t="shared" si="34"/>
        <v>0</v>
      </c>
      <c r="J57" s="71">
        <f t="shared" si="34"/>
        <v>0</v>
      </c>
      <c r="K57" s="71">
        <f t="shared" si="34"/>
        <v>0</v>
      </c>
      <c r="L57" s="71">
        <f t="shared" si="31"/>
        <v>0</v>
      </c>
      <c r="M57" s="71">
        <f t="shared" si="31"/>
        <v>0</v>
      </c>
      <c r="N57" s="71">
        <f t="shared" si="31"/>
        <v>0</v>
      </c>
      <c r="O57" s="71">
        <f t="shared" si="31"/>
        <v>0</v>
      </c>
      <c r="P57" s="71">
        <f t="shared" si="31"/>
        <v>0</v>
      </c>
      <c r="Q57" s="71">
        <f t="shared" si="31"/>
        <v>0</v>
      </c>
      <c r="R57" s="71">
        <f t="shared" si="31"/>
        <v>0</v>
      </c>
      <c r="S57" s="18">
        <f t="shared" si="31"/>
        <v>0</v>
      </c>
    </row>
    <row r="58" spans="1:19" ht="12.75">
      <c r="A58" s="56" t="s">
        <v>8</v>
      </c>
      <c r="B58" s="66">
        <f>SUM(B22,B28,B34,B40,B46,B52)</f>
        <v>0</v>
      </c>
      <c r="C58" s="17">
        <f aca="true" t="shared" si="35" ref="C58:K58">C59-C55-C15</f>
        <v>0</v>
      </c>
      <c r="D58" s="17">
        <f t="shared" si="35"/>
        <v>0</v>
      </c>
      <c r="E58" s="17">
        <f t="shared" si="35"/>
        <v>0</v>
      </c>
      <c r="F58" s="17">
        <f t="shared" si="35"/>
        <v>0</v>
      </c>
      <c r="G58" s="17">
        <f t="shared" si="35"/>
        <v>0</v>
      </c>
      <c r="H58" s="17">
        <f t="shared" si="35"/>
        <v>0</v>
      </c>
      <c r="I58" s="17">
        <f t="shared" si="35"/>
        <v>0</v>
      </c>
      <c r="J58" s="17">
        <f t="shared" si="35"/>
        <v>0</v>
      </c>
      <c r="K58" s="17">
        <f t="shared" si="35"/>
        <v>0</v>
      </c>
      <c r="L58" s="17">
        <f aca="true" t="shared" si="36" ref="L58:S58">L59-L55-L15</f>
        <v>0</v>
      </c>
      <c r="M58" s="17">
        <f t="shared" si="36"/>
        <v>0</v>
      </c>
      <c r="N58" s="17">
        <f t="shared" si="36"/>
        <v>0</v>
      </c>
      <c r="O58" s="17">
        <f t="shared" si="36"/>
        <v>0</v>
      </c>
      <c r="P58" s="17">
        <f t="shared" si="36"/>
        <v>0</v>
      </c>
      <c r="Q58" s="17">
        <f t="shared" si="36"/>
        <v>0</v>
      </c>
      <c r="R58" s="17">
        <f t="shared" si="36"/>
        <v>0</v>
      </c>
      <c r="S58" s="16">
        <f t="shared" si="36"/>
        <v>0</v>
      </c>
    </row>
    <row r="59" spans="1:19" ht="12.75">
      <c r="A59" s="57" t="s">
        <v>7</v>
      </c>
      <c r="B59" s="7"/>
      <c r="C59" s="7"/>
      <c r="D59" s="7"/>
      <c r="E59" s="7"/>
      <c r="F59" s="7"/>
      <c r="G59" s="7"/>
      <c r="H59" s="7"/>
      <c r="I59" s="7"/>
      <c r="J59" s="7"/>
      <c r="K59" s="7"/>
      <c r="L59" s="7"/>
      <c r="M59" s="7"/>
      <c r="N59" s="7"/>
      <c r="O59" s="7"/>
      <c r="P59" s="7"/>
      <c r="Q59" s="7"/>
      <c r="R59" s="7"/>
      <c r="S59" s="6"/>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c r="C62" s="2"/>
      <c r="D62" s="2"/>
      <c r="E62" s="2"/>
      <c r="F62" s="2"/>
      <c r="G62" s="2"/>
      <c r="H62" s="2"/>
      <c r="I62" s="2"/>
      <c r="J62" s="2"/>
      <c r="K62" s="2"/>
      <c r="L62" s="2"/>
      <c r="M62" s="2"/>
      <c r="N62" s="2"/>
      <c r="O62" s="2"/>
      <c r="P62" s="2"/>
      <c r="Q62" s="2"/>
      <c r="R62" s="2"/>
      <c r="S62" s="5"/>
    </row>
    <row r="63" spans="1:19" ht="12.75">
      <c r="A63" s="58" t="s">
        <v>37</v>
      </c>
      <c r="B63" s="15"/>
      <c r="C63" s="15"/>
      <c r="D63" s="15"/>
      <c r="E63" s="15"/>
      <c r="F63" s="15"/>
      <c r="G63" s="15"/>
      <c r="H63" s="15"/>
      <c r="I63" s="15"/>
      <c r="J63" s="15"/>
      <c r="K63" s="15"/>
      <c r="L63" s="15"/>
      <c r="M63" s="15"/>
      <c r="N63" s="15"/>
      <c r="O63" s="15"/>
      <c r="P63" s="15"/>
      <c r="Q63" s="15"/>
      <c r="R63" s="15"/>
      <c r="S63" s="14"/>
    </row>
    <row r="64" spans="1:19" ht="25.5" outlineLevel="1">
      <c r="A64" s="118" t="s">
        <v>52</v>
      </c>
      <c r="B64" s="119"/>
      <c r="C64" s="119"/>
      <c r="D64" s="119"/>
      <c r="E64" s="119"/>
      <c r="F64" s="119"/>
      <c r="G64" s="119"/>
      <c r="H64" s="119"/>
      <c r="I64" s="119"/>
      <c r="J64" s="119"/>
      <c r="K64" s="119"/>
      <c r="L64" s="119"/>
      <c r="M64" s="119"/>
      <c r="N64" s="119"/>
      <c r="O64" s="119"/>
      <c r="P64" s="119"/>
      <c r="Q64" s="119"/>
      <c r="R64" s="119"/>
      <c r="S64" s="122"/>
    </row>
    <row r="65" spans="1:19" ht="12.75" customHeight="1" outlineLevel="1">
      <c r="A65" s="60" t="s">
        <v>5</v>
      </c>
      <c r="B65" s="11"/>
      <c r="C65" s="11"/>
      <c r="D65" s="11"/>
      <c r="E65" s="11"/>
      <c r="F65" s="11"/>
      <c r="G65" s="11"/>
      <c r="H65" s="11"/>
      <c r="I65" s="11"/>
      <c r="J65" s="11"/>
      <c r="K65" s="11"/>
      <c r="L65" s="11"/>
      <c r="M65" s="11"/>
      <c r="N65" s="11"/>
      <c r="O65" s="11"/>
      <c r="P65" s="11"/>
      <c r="Q65" s="11"/>
      <c r="R65" s="11"/>
      <c r="S65" s="10"/>
    </row>
    <row r="66" spans="1:19" ht="12.75">
      <c r="A66" s="118" t="s">
        <v>42</v>
      </c>
      <c r="B66" s="119"/>
      <c r="C66" s="119"/>
      <c r="D66" s="119"/>
      <c r="E66" s="119"/>
      <c r="F66" s="119"/>
      <c r="G66" s="119"/>
      <c r="H66" s="119"/>
      <c r="I66" s="119"/>
      <c r="J66" s="119"/>
      <c r="K66" s="119"/>
      <c r="L66" s="119"/>
      <c r="M66" s="119"/>
      <c r="N66" s="119"/>
      <c r="O66" s="119"/>
      <c r="P66" s="119"/>
      <c r="Q66" s="119"/>
      <c r="R66" s="119"/>
      <c r="S66" s="122"/>
    </row>
    <row r="67" spans="1:19" ht="13.5" customHeight="1">
      <c r="A67" s="117" t="s">
        <v>50</v>
      </c>
      <c r="B67" s="120"/>
      <c r="C67" s="120"/>
      <c r="D67" s="120"/>
      <c r="E67" s="120"/>
      <c r="F67" s="120"/>
      <c r="G67" s="120"/>
      <c r="H67" s="120"/>
      <c r="I67" s="120"/>
      <c r="J67" s="120"/>
      <c r="K67" s="120"/>
      <c r="L67" s="120"/>
      <c r="M67" s="120"/>
      <c r="N67" s="120"/>
      <c r="O67" s="120"/>
      <c r="P67" s="120"/>
      <c r="Q67" s="120"/>
      <c r="R67" s="120"/>
      <c r="S67" s="123"/>
    </row>
    <row r="68" spans="1:19" ht="12.75">
      <c r="A68" s="117" t="s">
        <v>41</v>
      </c>
      <c r="B68" s="119"/>
      <c r="C68" s="119"/>
      <c r="D68" s="119"/>
      <c r="E68" s="119"/>
      <c r="F68" s="119"/>
      <c r="G68" s="119"/>
      <c r="H68" s="119"/>
      <c r="I68" s="119"/>
      <c r="J68" s="119"/>
      <c r="K68" s="119"/>
      <c r="L68" s="119"/>
      <c r="M68" s="119"/>
      <c r="N68" s="119"/>
      <c r="O68" s="119"/>
      <c r="P68" s="119"/>
      <c r="Q68" s="119"/>
      <c r="R68" s="119"/>
      <c r="S68" s="122"/>
    </row>
    <row r="69" spans="1:19" ht="25.5">
      <c r="A69" s="61" t="s">
        <v>4</v>
      </c>
      <c r="B69" s="9"/>
      <c r="C69" s="9"/>
      <c r="D69" s="9"/>
      <c r="E69" s="9"/>
      <c r="F69" s="9"/>
      <c r="G69" s="9"/>
      <c r="H69" s="9"/>
      <c r="I69" s="9"/>
      <c r="J69" s="9"/>
      <c r="K69" s="9"/>
      <c r="L69" s="9"/>
      <c r="M69" s="9"/>
      <c r="N69" s="9"/>
      <c r="O69" s="9"/>
      <c r="P69" s="9"/>
      <c r="Q69" s="9"/>
      <c r="R69" s="9"/>
      <c r="S69" s="8"/>
    </row>
    <row r="70" spans="1:19" ht="12.75">
      <c r="A70" s="61" t="s">
        <v>3</v>
      </c>
      <c r="B70" s="9"/>
      <c r="C70" s="9"/>
      <c r="D70" s="9"/>
      <c r="E70" s="9"/>
      <c r="F70" s="9"/>
      <c r="G70" s="9"/>
      <c r="H70" s="9"/>
      <c r="I70" s="9"/>
      <c r="J70" s="9"/>
      <c r="K70" s="9"/>
      <c r="L70" s="9"/>
      <c r="M70" s="9"/>
      <c r="N70" s="9"/>
      <c r="O70" s="9"/>
      <c r="P70" s="9"/>
      <c r="Q70" s="9"/>
      <c r="R70" s="9"/>
      <c r="S70" s="8"/>
    </row>
    <row r="71" spans="1:19" ht="38.25">
      <c r="A71" s="47" t="s">
        <v>2</v>
      </c>
      <c r="B71" s="74">
        <f aca="true" t="shared" si="37" ref="B71:K71">B72-SUM(B62:B68)</f>
        <v>0</v>
      </c>
      <c r="C71" s="74">
        <f t="shared" si="37"/>
        <v>0</v>
      </c>
      <c r="D71" s="74">
        <f t="shared" si="37"/>
        <v>0</v>
      </c>
      <c r="E71" s="74">
        <f t="shared" si="37"/>
        <v>0</v>
      </c>
      <c r="F71" s="74">
        <f t="shared" si="37"/>
        <v>0</v>
      </c>
      <c r="G71" s="74">
        <f t="shared" si="37"/>
        <v>0</v>
      </c>
      <c r="H71" s="74">
        <f t="shared" si="37"/>
        <v>0</v>
      </c>
      <c r="I71" s="74">
        <f t="shared" si="37"/>
        <v>0</v>
      </c>
      <c r="J71" s="74">
        <f t="shared" si="37"/>
        <v>0</v>
      </c>
      <c r="K71" s="74">
        <f t="shared" si="37"/>
        <v>0</v>
      </c>
      <c r="L71" s="74">
        <f aca="true" t="shared" si="38" ref="L71:S71">L72-SUM(L62:L68)</f>
        <v>0</v>
      </c>
      <c r="M71" s="74">
        <f t="shared" si="38"/>
        <v>0</v>
      </c>
      <c r="N71" s="74">
        <f t="shared" si="38"/>
        <v>0</v>
      </c>
      <c r="O71" s="74">
        <f t="shared" si="38"/>
        <v>0</v>
      </c>
      <c r="P71" s="74">
        <f t="shared" si="38"/>
        <v>0</v>
      </c>
      <c r="Q71" s="74">
        <f t="shared" si="38"/>
        <v>0</v>
      </c>
      <c r="R71" s="74">
        <f t="shared" si="38"/>
        <v>0</v>
      </c>
      <c r="S71" s="75">
        <f t="shared" si="38"/>
        <v>0</v>
      </c>
    </row>
    <row r="72" spans="1:19" ht="12.75">
      <c r="A72" s="57" t="s">
        <v>1</v>
      </c>
      <c r="B72" s="7"/>
      <c r="C72" s="7"/>
      <c r="D72" s="7"/>
      <c r="E72" s="7"/>
      <c r="F72" s="7"/>
      <c r="G72" s="7"/>
      <c r="H72" s="7"/>
      <c r="I72" s="7"/>
      <c r="J72" s="7"/>
      <c r="K72" s="7"/>
      <c r="L72" s="7"/>
      <c r="M72" s="7"/>
      <c r="N72" s="7"/>
      <c r="O72" s="7"/>
      <c r="P72" s="7"/>
      <c r="Q72" s="7"/>
      <c r="R72" s="7"/>
      <c r="S72" s="6"/>
    </row>
    <row r="73" spans="1:19" ht="12.75">
      <c r="A73" s="47"/>
      <c r="B73" s="2"/>
      <c r="C73" s="2"/>
      <c r="D73" s="2"/>
      <c r="E73" s="2"/>
      <c r="F73" s="2"/>
      <c r="G73" s="2"/>
      <c r="H73" s="2"/>
      <c r="I73" s="2"/>
      <c r="J73" s="2"/>
      <c r="K73" s="2"/>
      <c r="L73" s="2"/>
      <c r="M73" s="2"/>
      <c r="N73" s="2"/>
      <c r="O73" s="2"/>
      <c r="P73" s="2"/>
      <c r="Q73" s="2"/>
      <c r="R73" s="2"/>
      <c r="S73" s="5"/>
    </row>
    <row r="74" spans="1:19" ht="12.75">
      <c r="A74" s="62" t="s">
        <v>0</v>
      </c>
      <c r="B74" s="4"/>
      <c r="C74" s="4"/>
      <c r="D74" s="4"/>
      <c r="E74" s="4"/>
      <c r="F74" s="4"/>
      <c r="G74" s="4"/>
      <c r="H74" s="4"/>
      <c r="I74" s="4"/>
      <c r="J74" s="4"/>
      <c r="K74" s="4"/>
      <c r="L74" s="4"/>
      <c r="M74" s="4"/>
      <c r="N74" s="4"/>
      <c r="O74" s="4"/>
      <c r="P74" s="4"/>
      <c r="Q74" s="4"/>
      <c r="R74" s="4"/>
      <c r="S74" s="3"/>
    </row>
  </sheetData>
  <sheetProtection/>
  <mergeCells count="1">
    <mergeCell ref="B1:S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47"/>
  <sheetViews>
    <sheetView zoomScale="75" zoomScaleNormal="75" zoomScalePageLayoutView="0" workbookViewId="0" topLeftCell="A1">
      <selection activeCell="C19" sqref="C19"/>
    </sheetView>
  </sheetViews>
  <sheetFormatPr defaultColWidth="9.140625" defaultRowHeight="15"/>
  <cols>
    <col min="1" max="1" width="103.8515625" style="77" customWidth="1"/>
    <col min="2" max="2" width="8.28125" style="77" customWidth="1"/>
    <col min="3" max="16384" width="9.140625" style="77" customWidth="1"/>
  </cols>
  <sheetData>
    <row r="1" spans="1:2" ht="26.25">
      <c r="A1" s="425" t="s">
        <v>376</v>
      </c>
      <c r="B1" s="76"/>
    </row>
    <row r="2" spans="1:2" ht="15">
      <c r="A2" s="76"/>
      <c r="B2" s="76"/>
    </row>
    <row r="3" spans="1:2" ht="15">
      <c r="A3" s="76"/>
      <c r="B3" s="76"/>
    </row>
    <row r="4" spans="1:2" ht="15">
      <c r="A4" s="76"/>
      <c r="B4" s="76"/>
    </row>
    <row r="5" spans="1:2" ht="15">
      <c r="A5" s="414" t="s">
        <v>416</v>
      </c>
      <c r="B5" s="76"/>
    </row>
    <row r="6" spans="1:2" ht="15">
      <c r="A6" s="414"/>
      <c r="B6" s="76"/>
    </row>
    <row r="7" spans="1:2" ht="28.5">
      <c r="A7" s="415" t="s">
        <v>415</v>
      </c>
      <c r="B7" s="76"/>
    </row>
    <row r="8" spans="1:2" ht="15">
      <c r="A8" s="415"/>
      <c r="B8" s="76"/>
    </row>
    <row r="9" spans="1:2" ht="42.75">
      <c r="A9" s="415" t="s">
        <v>412</v>
      </c>
      <c r="B9" s="76"/>
    </row>
    <row r="10" spans="1:2" ht="15">
      <c r="A10" s="415"/>
      <c r="B10" s="76"/>
    </row>
    <row r="11" spans="1:2" ht="42.75">
      <c r="A11" s="415" t="s">
        <v>413</v>
      </c>
      <c r="B11" s="76"/>
    </row>
    <row r="12" spans="1:2" ht="15">
      <c r="A12" s="415"/>
      <c r="B12" s="76"/>
    </row>
    <row r="13" spans="1:2" ht="15">
      <c r="A13" s="415" t="s">
        <v>237</v>
      </c>
      <c r="B13" s="76"/>
    </row>
    <row r="14" spans="1:2" ht="15">
      <c r="A14" s="415"/>
      <c r="B14" s="76"/>
    </row>
    <row r="15" spans="1:2" ht="28.5">
      <c r="A15" s="415" t="s">
        <v>414</v>
      </c>
      <c r="B15" s="76"/>
    </row>
    <row r="16" spans="1:2" ht="15">
      <c r="A16" s="415"/>
      <c r="B16" s="76"/>
    </row>
    <row r="17" spans="1:2" ht="43.5">
      <c r="A17" s="467" t="s">
        <v>417</v>
      </c>
      <c r="B17" s="76"/>
    </row>
    <row r="18" spans="1:2" ht="15">
      <c r="A18" s="76"/>
      <c r="B18" s="76"/>
    </row>
    <row r="19" spans="1:2" ht="28.5">
      <c r="A19" s="467" t="s">
        <v>418</v>
      </c>
      <c r="B19" s="76"/>
    </row>
    <row r="20" spans="1:2" ht="15">
      <c r="A20" s="76"/>
      <c r="B20" s="76"/>
    </row>
    <row r="21" spans="1:2" ht="15">
      <c r="A21" s="76"/>
      <c r="B21" s="76"/>
    </row>
    <row r="22" spans="1:2" ht="15">
      <c r="A22" s="414" t="s">
        <v>325</v>
      </c>
      <c r="B22" s="76"/>
    </row>
    <row r="23" spans="1:2" ht="15">
      <c r="A23" s="415"/>
      <c r="B23" s="76"/>
    </row>
    <row r="24" spans="1:2" ht="28.5">
      <c r="A24" s="415" t="s">
        <v>326</v>
      </c>
      <c r="B24" s="76"/>
    </row>
    <row r="25" spans="1:2" ht="15">
      <c r="A25" s="415"/>
      <c r="B25" s="131"/>
    </row>
    <row r="26" spans="1:2" ht="28.5">
      <c r="A26" s="415" t="s">
        <v>327</v>
      </c>
      <c r="B26" s="76"/>
    </row>
    <row r="27" ht="15">
      <c r="A27" s="415"/>
    </row>
    <row r="28" ht="28.5">
      <c r="A28" s="415" t="s">
        <v>328</v>
      </c>
    </row>
    <row r="29" spans="1:2" ht="15">
      <c r="A29" s="415"/>
      <c r="B29" s="76"/>
    </row>
    <row r="30" spans="1:2" ht="57">
      <c r="A30" s="416" t="s">
        <v>329</v>
      </c>
      <c r="B30" s="76"/>
    </row>
    <row r="31" spans="1:2" ht="15">
      <c r="A31" s="415"/>
      <c r="B31" s="76"/>
    </row>
    <row r="32" spans="1:2" ht="15">
      <c r="A32" s="414" t="s">
        <v>330</v>
      </c>
      <c r="B32" s="76"/>
    </row>
    <row r="33" spans="1:2" ht="15">
      <c r="A33" s="415"/>
      <c r="B33" s="76"/>
    </row>
    <row r="34" spans="1:2" ht="28.5">
      <c r="A34" s="415" t="s">
        <v>331</v>
      </c>
      <c r="B34" s="76"/>
    </row>
    <row r="35" spans="1:2" ht="15">
      <c r="A35" s="415"/>
      <c r="B35" s="132"/>
    </row>
    <row r="36" spans="1:2" ht="42.75">
      <c r="A36" s="415" t="s">
        <v>332</v>
      </c>
      <c r="B36" s="136"/>
    </row>
    <row r="37" spans="1:2" ht="15">
      <c r="A37" s="415"/>
      <c r="B37" s="76"/>
    </row>
    <row r="38" spans="1:2" ht="42.75">
      <c r="A38" s="415" t="s">
        <v>333</v>
      </c>
      <c r="B38" s="76"/>
    </row>
    <row r="39" spans="1:2" ht="15">
      <c r="A39" s="415"/>
      <c r="B39" s="76"/>
    </row>
    <row r="40" spans="1:2" ht="15">
      <c r="A40" s="415" t="s">
        <v>396</v>
      </c>
      <c r="B40" s="76"/>
    </row>
    <row r="41" spans="1:2" ht="15">
      <c r="A41" s="415"/>
      <c r="B41" s="76"/>
    </row>
    <row r="42" ht="28.5">
      <c r="A42" s="415" t="s">
        <v>334</v>
      </c>
    </row>
    <row r="43" ht="15">
      <c r="A43" s="415"/>
    </row>
    <row r="44" ht="28.5">
      <c r="A44" s="415" t="s">
        <v>335</v>
      </c>
    </row>
    <row r="45" ht="15">
      <c r="A45" s="415"/>
    </row>
    <row r="46" ht="42.75">
      <c r="A46" s="415" t="s">
        <v>336</v>
      </c>
    </row>
    <row r="47" ht="15">
      <c r="A47" s="41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4"/>
  <sheetViews>
    <sheetView zoomScale="75" zoomScaleNormal="75" zoomScalePageLayoutView="0" workbookViewId="0" topLeftCell="A1">
      <pane xSplit="1" ySplit="2" topLeftCell="B47" activePane="bottomRight" state="frozen"/>
      <selection pane="topLeft" activeCell="H29" sqref="H29"/>
      <selection pane="topRight" activeCell="H29" sqref="H29"/>
      <selection pane="bottomLeft" activeCell="H29" sqref="H29"/>
      <selection pane="bottomRight" activeCell="F51" sqref="F51"/>
    </sheetView>
  </sheetViews>
  <sheetFormatPr defaultColWidth="9.140625" defaultRowHeight="15" outlineLevelRow="1"/>
  <cols>
    <col min="1" max="1" width="32.421875" style="389" customWidth="1"/>
    <col min="2" max="2" width="14.8515625" style="390" customWidth="1"/>
    <col min="3" max="3" width="37.57421875" style="390" customWidth="1"/>
    <col min="4" max="4" width="56.8515625" style="413" customWidth="1"/>
    <col min="5" max="16384" width="9.140625" style="317" customWidth="1"/>
  </cols>
  <sheetData>
    <row r="1" spans="1:4" ht="12.75">
      <c r="A1" s="316"/>
      <c r="B1" s="476" t="s">
        <v>306</v>
      </c>
      <c r="C1" s="474" t="s">
        <v>307</v>
      </c>
      <c r="D1" s="478" t="s">
        <v>323</v>
      </c>
    </row>
    <row r="2" spans="1:4" ht="12.75">
      <c r="A2" s="318"/>
      <c r="B2" s="477"/>
      <c r="C2" s="475"/>
      <c r="D2" s="478"/>
    </row>
    <row r="3" spans="1:4" ht="12.75">
      <c r="A3" s="319" t="s">
        <v>32</v>
      </c>
      <c r="B3" s="477"/>
      <c r="C3" s="475"/>
      <c r="D3" s="478"/>
    </row>
    <row r="4" spans="1:4" ht="12.75">
      <c r="A4" s="320" t="s">
        <v>30</v>
      </c>
      <c r="B4" s="321"/>
      <c r="C4" s="322"/>
      <c r="D4" s="391"/>
    </row>
    <row r="5" spans="1:4" ht="12.75">
      <c r="A5" s="323" t="s">
        <v>29</v>
      </c>
      <c r="B5" s="321" t="s">
        <v>316</v>
      </c>
      <c r="C5" s="324" t="s">
        <v>315</v>
      </c>
      <c r="D5" s="392"/>
    </row>
    <row r="6" spans="1:4" ht="12.75">
      <c r="A6" s="323" t="s">
        <v>28</v>
      </c>
      <c r="B6" s="325"/>
      <c r="C6" s="326"/>
      <c r="D6" s="392"/>
    </row>
    <row r="7" spans="1:4" ht="12.75">
      <c r="A7" s="323" t="s">
        <v>27</v>
      </c>
      <c r="B7" s="325" t="s">
        <v>287</v>
      </c>
      <c r="C7" s="324" t="s">
        <v>281</v>
      </c>
      <c r="D7" s="392"/>
    </row>
    <row r="8" spans="1:4" ht="12.75">
      <c r="A8" s="323" t="s">
        <v>26</v>
      </c>
      <c r="B8" s="325" t="s">
        <v>287</v>
      </c>
      <c r="C8" s="324" t="s">
        <v>282</v>
      </c>
      <c r="D8" s="393"/>
    </row>
    <row r="9" spans="1:4" ht="12.75">
      <c r="A9" s="327" t="s">
        <v>35</v>
      </c>
      <c r="B9" s="328" t="s">
        <v>287</v>
      </c>
      <c r="C9" s="329" t="s">
        <v>283</v>
      </c>
      <c r="D9" s="394"/>
    </row>
    <row r="10" spans="1:4" ht="12.75">
      <c r="A10" s="327" t="s">
        <v>43</v>
      </c>
      <c r="B10" s="328" t="s">
        <v>287</v>
      </c>
      <c r="C10" s="329" t="s">
        <v>284</v>
      </c>
      <c r="D10" s="394"/>
    </row>
    <row r="11" spans="1:4" ht="12.75">
      <c r="A11" s="327" t="s">
        <v>44</v>
      </c>
      <c r="B11" s="328" t="s">
        <v>287</v>
      </c>
      <c r="C11" s="329" t="s">
        <v>285</v>
      </c>
      <c r="D11" s="394"/>
    </row>
    <row r="12" spans="1:4" ht="12.75">
      <c r="A12" s="323" t="s">
        <v>25</v>
      </c>
      <c r="B12" s="325" t="s">
        <v>287</v>
      </c>
      <c r="C12" s="324" t="s">
        <v>286</v>
      </c>
      <c r="D12" s="393"/>
    </row>
    <row r="13" spans="1:4" ht="12.75">
      <c r="A13" s="320" t="s">
        <v>24</v>
      </c>
      <c r="B13" s="321" t="s">
        <v>288</v>
      </c>
      <c r="C13" s="330" t="s">
        <v>314</v>
      </c>
      <c r="D13" s="395"/>
    </row>
    <row r="14" spans="1:4" ht="12.75">
      <c r="A14" s="323" t="s">
        <v>23</v>
      </c>
      <c r="B14" s="325" t="s">
        <v>287</v>
      </c>
      <c r="C14" s="326"/>
      <c r="D14" s="396"/>
    </row>
    <row r="15" spans="1:4" ht="12.75">
      <c r="A15" s="331" t="s">
        <v>22</v>
      </c>
      <c r="B15" s="332" t="s">
        <v>316</v>
      </c>
      <c r="C15" s="333" t="s">
        <v>313</v>
      </c>
      <c r="D15" s="397"/>
    </row>
    <row r="16" spans="1:4" ht="12.75">
      <c r="A16" s="334"/>
      <c r="B16" s="321"/>
      <c r="C16" s="322"/>
      <c r="D16" s="398"/>
    </row>
    <row r="17" spans="1:4" ht="12.75" outlineLevel="1">
      <c r="A17" s="335" t="s">
        <v>21</v>
      </c>
      <c r="B17" s="336"/>
      <c r="C17" s="337"/>
      <c r="D17" s="392"/>
    </row>
    <row r="18" spans="1:4" ht="36" outlineLevel="1">
      <c r="A18" s="323" t="s">
        <v>12</v>
      </c>
      <c r="B18" s="325" t="s">
        <v>287</v>
      </c>
      <c r="C18" s="326"/>
      <c r="D18" s="391" t="s">
        <v>60</v>
      </c>
    </row>
    <row r="19" spans="1:4" ht="36" outlineLevel="1">
      <c r="A19" s="323" t="s">
        <v>16</v>
      </c>
      <c r="B19" s="338" t="s">
        <v>287</v>
      </c>
      <c r="C19" s="326"/>
      <c r="D19" s="391" t="s">
        <v>321</v>
      </c>
    </row>
    <row r="20" spans="1:4" ht="36" outlineLevel="1">
      <c r="A20" s="320" t="s">
        <v>20</v>
      </c>
      <c r="B20" s="339" t="s">
        <v>305</v>
      </c>
      <c r="C20" s="330" t="s">
        <v>304</v>
      </c>
      <c r="D20" s="391" t="s">
        <v>322</v>
      </c>
    </row>
    <row r="21" spans="1:4" ht="12.75" outlineLevel="1">
      <c r="A21" s="340" t="s">
        <v>14</v>
      </c>
      <c r="B21" s="341" t="s">
        <v>289</v>
      </c>
      <c r="C21" s="342" t="s">
        <v>312</v>
      </c>
      <c r="D21" s="399"/>
    </row>
    <row r="22" spans="1:4" ht="12.75" outlineLevel="1">
      <c r="A22" s="334"/>
      <c r="B22" s="321"/>
      <c r="C22" s="322"/>
      <c r="D22" s="398"/>
    </row>
    <row r="23" spans="1:4" ht="12.75" outlineLevel="1">
      <c r="A23" s="343" t="s">
        <v>19</v>
      </c>
      <c r="B23" s="344"/>
      <c r="C23" s="345"/>
      <c r="D23" s="400"/>
    </row>
    <row r="24" spans="1:4" ht="12.75" outlineLevel="1">
      <c r="A24" s="323" t="s">
        <v>12</v>
      </c>
      <c r="B24" s="325" t="s">
        <v>287</v>
      </c>
      <c r="C24" s="326"/>
      <c r="D24" s="396"/>
    </row>
    <row r="25" spans="1:4" ht="25.5" outlineLevel="1">
      <c r="A25" s="323" t="s">
        <v>16</v>
      </c>
      <c r="B25" s="338" t="s">
        <v>287</v>
      </c>
      <c r="C25" s="326"/>
      <c r="D25" s="396"/>
    </row>
    <row r="26" spans="1:4" ht="12.75" outlineLevel="1">
      <c r="A26" s="320" t="s">
        <v>18</v>
      </c>
      <c r="B26" s="339" t="s">
        <v>305</v>
      </c>
      <c r="C26" s="330" t="s">
        <v>303</v>
      </c>
      <c r="D26" s="395"/>
    </row>
    <row r="27" spans="1:4" ht="12.75" outlineLevel="1">
      <c r="A27" s="346" t="s">
        <v>14</v>
      </c>
      <c r="B27" s="341" t="s">
        <v>289</v>
      </c>
      <c r="C27" s="342" t="s">
        <v>311</v>
      </c>
      <c r="D27" s="399"/>
    </row>
    <row r="28" spans="1:4" ht="12.75" outlineLevel="1">
      <c r="A28" s="334"/>
      <c r="B28" s="321"/>
      <c r="C28" s="322"/>
      <c r="D28" s="398"/>
    </row>
    <row r="29" spans="1:4" ht="12.75" outlineLevel="1">
      <c r="A29" s="347" t="s">
        <v>17</v>
      </c>
      <c r="B29" s="348"/>
      <c r="C29" s="349"/>
      <c r="D29" s="401"/>
    </row>
    <row r="30" spans="1:4" ht="12.75" outlineLevel="1">
      <c r="A30" s="323" t="s">
        <v>12</v>
      </c>
      <c r="B30" s="325" t="s">
        <v>287</v>
      </c>
      <c r="C30" s="326"/>
      <c r="D30" s="396"/>
    </row>
    <row r="31" spans="1:4" ht="25.5" outlineLevel="1">
      <c r="A31" s="323" t="s">
        <v>16</v>
      </c>
      <c r="B31" s="338" t="s">
        <v>287</v>
      </c>
      <c r="C31" s="326"/>
      <c r="D31" s="396"/>
    </row>
    <row r="32" spans="1:4" ht="12.75" outlineLevel="1">
      <c r="A32" s="320" t="s">
        <v>15</v>
      </c>
      <c r="B32" s="339" t="s">
        <v>305</v>
      </c>
      <c r="C32" s="330" t="s">
        <v>302</v>
      </c>
      <c r="D32" s="395"/>
    </row>
    <row r="33" spans="1:4" ht="12.75" outlineLevel="1">
      <c r="A33" s="340" t="s">
        <v>14</v>
      </c>
      <c r="B33" s="341" t="s">
        <v>289</v>
      </c>
      <c r="C33" s="342" t="s">
        <v>310</v>
      </c>
      <c r="D33" s="399"/>
    </row>
    <row r="34" spans="1:4" ht="12.75">
      <c r="A34" s="334"/>
      <c r="B34" s="321"/>
      <c r="C34" s="322"/>
      <c r="D34" s="398"/>
    </row>
    <row r="35" spans="1:4" ht="12.75">
      <c r="A35" s="343" t="s">
        <v>34</v>
      </c>
      <c r="B35" s="344"/>
      <c r="C35" s="345"/>
      <c r="D35" s="400"/>
    </row>
    <row r="36" spans="1:4" ht="12.75">
      <c r="A36" s="323" t="s">
        <v>12</v>
      </c>
      <c r="B36" s="325" t="s">
        <v>287</v>
      </c>
      <c r="C36" s="326"/>
      <c r="D36" s="396"/>
    </row>
    <row r="37" spans="1:4" ht="25.5">
      <c r="A37" s="323" t="s">
        <v>16</v>
      </c>
      <c r="B37" s="338" t="s">
        <v>287</v>
      </c>
      <c r="C37" s="326"/>
      <c r="D37" s="396"/>
    </row>
    <row r="38" spans="1:4" ht="12.75">
      <c r="A38" s="320" t="s">
        <v>18</v>
      </c>
      <c r="B38" s="339" t="s">
        <v>305</v>
      </c>
      <c r="C38" s="330" t="s">
        <v>301</v>
      </c>
      <c r="D38" s="395"/>
    </row>
    <row r="39" spans="1:4" ht="12.75">
      <c r="A39" s="346" t="s">
        <v>14</v>
      </c>
      <c r="B39" s="341" t="s">
        <v>289</v>
      </c>
      <c r="C39" s="350" t="s">
        <v>300</v>
      </c>
      <c r="D39" s="399"/>
    </row>
    <row r="40" spans="1:4" ht="12.75">
      <c r="A40" s="351"/>
      <c r="B40" s="325"/>
      <c r="C40" s="326"/>
      <c r="D40" s="396"/>
    </row>
    <row r="41" spans="1:4" ht="12.75">
      <c r="A41" s="343" t="s">
        <v>46</v>
      </c>
      <c r="B41" s="344"/>
      <c r="C41" s="345"/>
      <c r="D41" s="400"/>
    </row>
    <row r="42" spans="1:4" ht="12.75">
      <c r="A42" s="323" t="s">
        <v>12</v>
      </c>
      <c r="B42" s="325" t="s">
        <v>287</v>
      </c>
      <c r="C42" s="326"/>
      <c r="D42" s="396"/>
    </row>
    <row r="43" spans="1:4" ht="25.5">
      <c r="A43" s="323" t="s">
        <v>16</v>
      </c>
      <c r="B43" s="338" t="s">
        <v>287</v>
      </c>
      <c r="C43" s="326"/>
      <c r="D43" s="396"/>
    </row>
    <row r="44" spans="1:4" ht="12.75">
      <c r="A44" s="320" t="s">
        <v>18</v>
      </c>
      <c r="B44" s="339" t="s">
        <v>305</v>
      </c>
      <c r="C44" s="330" t="s">
        <v>299</v>
      </c>
      <c r="D44" s="395"/>
    </row>
    <row r="45" spans="1:4" ht="12.75">
      <c r="A45" s="346" t="s">
        <v>14</v>
      </c>
      <c r="B45" s="341" t="s">
        <v>289</v>
      </c>
      <c r="C45" s="350" t="s">
        <v>298</v>
      </c>
      <c r="D45" s="399"/>
    </row>
    <row r="46" spans="1:4" ht="12.75">
      <c r="A46" s="351"/>
      <c r="B46" s="325"/>
      <c r="C46" s="326"/>
      <c r="D46" s="396"/>
    </row>
    <row r="47" spans="1:4" ht="12.75">
      <c r="A47" s="343" t="s">
        <v>47</v>
      </c>
      <c r="B47" s="344"/>
      <c r="C47" s="345"/>
      <c r="D47" s="400"/>
    </row>
    <row r="48" spans="1:4" ht="12.75">
      <c r="A48" s="323" t="s">
        <v>12</v>
      </c>
      <c r="B48" s="325" t="s">
        <v>287</v>
      </c>
      <c r="C48" s="326"/>
      <c r="D48" s="396"/>
    </row>
    <row r="49" spans="1:4" ht="25.5">
      <c r="A49" s="323" t="s">
        <v>16</v>
      </c>
      <c r="B49" s="325" t="s">
        <v>287</v>
      </c>
      <c r="C49" s="326"/>
      <c r="D49" s="396"/>
    </row>
    <row r="50" spans="1:4" ht="12.75">
      <c r="A50" s="320" t="s">
        <v>18</v>
      </c>
      <c r="B50" s="339">
        <f>SUM(B48:B49)</f>
        <v>0</v>
      </c>
      <c r="C50" s="330" t="s">
        <v>297</v>
      </c>
      <c r="D50" s="395"/>
    </row>
    <row r="51" spans="1:4" ht="12.75">
      <c r="A51" s="346" t="s">
        <v>14</v>
      </c>
      <c r="B51" s="341" t="s">
        <v>289</v>
      </c>
      <c r="C51" s="350" t="s">
        <v>296</v>
      </c>
      <c r="D51" s="399"/>
    </row>
    <row r="52" spans="1:4" ht="12.75">
      <c r="A52" s="351"/>
      <c r="B52" s="325"/>
      <c r="C52" s="326"/>
      <c r="D52" s="396"/>
    </row>
    <row r="53" spans="1:4" ht="12.75">
      <c r="A53" s="352" t="s">
        <v>13</v>
      </c>
      <c r="B53" s="353"/>
      <c r="C53" s="354"/>
      <c r="D53" s="402"/>
    </row>
    <row r="54" spans="1:4" ht="12.75">
      <c r="A54" s="355" t="s">
        <v>12</v>
      </c>
      <c r="B54" s="356" t="s">
        <v>289</v>
      </c>
      <c r="C54" s="357" t="s">
        <v>291</v>
      </c>
      <c r="D54" s="393"/>
    </row>
    <row r="55" spans="1:4" ht="12.75">
      <c r="A55" s="358" t="s">
        <v>11</v>
      </c>
      <c r="B55" s="359" t="s">
        <v>289</v>
      </c>
      <c r="C55" s="360" t="s">
        <v>292</v>
      </c>
      <c r="D55" s="403"/>
    </row>
    <row r="56" spans="1:4" ht="12.75">
      <c r="A56" s="361" t="s">
        <v>10</v>
      </c>
      <c r="B56" s="362" t="s">
        <v>289</v>
      </c>
      <c r="C56" s="363" t="s">
        <v>293</v>
      </c>
      <c r="D56" s="395"/>
    </row>
    <row r="57" spans="1:4" ht="12.75">
      <c r="A57" s="364" t="s">
        <v>9</v>
      </c>
      <c r="B57" s="365" t="s">
        <v>289</v>
      </c>
      <c r="C57" s="366" t="s">
        <v>294</v>
      </c>
      <c r="D57" s="399"/>
    </row>
    <row r="58" spans="1:4" ht="12.75">
      <c r="A58" s="367" t="s">
        <v>8</v>
      </c>
      <c r="B58" s="368" t="s">
        <v>289</v>
      </c>
      <c r="C58" s="369" t="s">
        <v>295</v>
      </c>
      <c r="D58" s="404"/>
    </row>
    <row r="59" spans="1:4" ht="12.75">
      <c r="A59" s="370" t="s">
        <v>7</v>
      </c>
      <c r="B59" s="371" t="s">
        <v>287</v>
      </c>
      <c r="C59" s="372"/>
      <c r="D59" s="405"/>
    </row>
    <row r="60" spans="1:4" ht="24">
      <c r="A60" s="323"/>
      <c r="B60" s="325"/>
      <c r="C60" s="326"/>
      <c r="D60" s="406" t="s">
        <v>36</v>
      </c>
    </row>
    <row r="61" spans="1:4" ht="12.75">
      <c r="A61" s="331" t="s">
        <v>6</v>
      </c>
      <c r="B61" s="368"/>
      <c r="C61" s="373"/>
      <c r="D61" s="407"/>
    </row>
    <row r="62" spans="1:4" ht="48">
      <c r="A62" s="323" t="s">
        <v>38</v>
      </c>
      <c r="B62" s="325" t="s">
        <v>287</v>
      </c>
      <c r="C62" s="326"/>
      <c r="D62" s="408" t="s">
        <v>39</v>
      </c>
    </row>
    <row r="63" spans="1:4" ht="12.75">
      <c r="A63" s="374" t="s">
        <v>37</v>
      </c>
      <c r="B63" s="375" t="s">
        <v>287</v>
      </c>
      <c r="C63" s="376"/>
      <c r="D63" s="409" t="s">
        <v>40</v>
      </c>
    </row>
    <row r="64" spans="1:4" ht="25.5" outlineLevel="1">
      <c r="A64" s="327" t="s">
        <v>52</v>
      </c>
      <c r="B64" s="328" t="s">
        <v>287</v>
      </c>
      <c r="C64" s="418"/>
      <c r="D64" s="419" t="s">
        <v>320</v>
      </c>
    </row>
    <row r="65" spans="1:4" ht="24" outlineLevel="1">
      <c r="A65" s="377" t="s">
        <v>5</v>
      </c>
      <c r="B65" s="378" t="s">
        <v>287</v>
      </c>
      <c r="C65" s="379"/>
      <c r="D65" s="410" t="s">
        <v>318</v>
      </c>
    </row>
    <row r="66" spans="1:4" ht="12.75">
      <c r="A66" s="327" t="s">
        <v>42</v>
      </c>
      <c r="B66" s="328" t="s">
        <v>287</v>
      </c>
      <c r="C66" s="418"/>
      <c r="D66" s="419" t="s">
        <v>319</v>
      </c>
    </row>
    <row r="67" spans="1:4" ht="36">
      <c r="A67" s="420" t="s">
        <v>50</v>
      </c>
      <c r="B67" s="421" t="s">
        <v>287</v>
      </c>
      <c r="C67" s="422"/>
      <c r="D67" s="419" t="s">
        <v>58</v>
      </c>
    </row>
    <row r="68" spans="1:4" ht="24">
      <c r="A68" s="420" t="s">
        <v>41</v>
      </c>
      <c r="B68" s="328" t="s">
        <v>287</v>
      </c>
      <c r="C68" s="418"/>
      <c r="D68" s="419" t="s">
        <v>49</v>
      </c>
    </row>
    <row r="69" spans="1:4" ht="37.5" customHeight="1">
      <c r="A69" s="380" t="s">
        <v>4</v>
      </c>
      <c r="B69" s="381" t="s">
        <v>308</v>
      </c>
      <c r="C69" s="382" t="s">
        <v>317</v>
      </c>
      <c r="D69" s="411" t="s">
        <v>54</v>
      </c>
    </row>
    <row r="70" spans="1:4" ht="12.75">
      <c r="A70" s="380" t="s">
        <v>3</v>
      </c>
      <c r="B70" s="381" t="s">
        <v>308</v>
      </c>
      <c r="C70" s="383" t="s">
        <v>309</v>
      </c>
      <c r="D70" s="411" t="s">
        <v>324</v>
      </c>
    </row>
    <row r="71" spans="1:4" ht="38.25">
      <c r="A71" s="323" t="s">
        <v>2</v>
      </c>
      <c r="B71" s="384" t="s">
        <v>289</v>
      </c>
      <c r="C71" s="385" t="s">
        <v>290</v>
      </c>
      <c r="D71" s="393"/>
    </row>
    <row r="72" spans="1:4" ht="12.75">
      <c r="A72" s="370" t="s">
        <v>1</v>
      </c>
      <c r="B72" s="371" t="s">
        <v>287</v>
      </c>
      <c r="C72" s="372"/>
      <c r="D72" s="405"/>
    </row>
    <row r="73" spans="1:4" ht="12.75">
      <c r="A73" s="323"/>
      <c r="B73" s="325"/>
      <c r="C73" s="326"/>
      <c r="D73" s="396"/>
    </row>
    <row r="74" spans="1:4" ht="12.75">
      <c r="A74" s="386" t="s">
        <v>0</v>
      </c>
      <c r="B74" s="387" t="s">
        <v>287</v>
      </c>
      <c r="C74" s="388"/>
      <c r="D74" s="412"/>
    </row>
  </sheetData>
  <sheetProtection/>
  <mergeCells count="3">
    <mergeCell ref="C1:C3"/>
    <mergeCell ref="B1:B3"/>
    <mergeCell ref="D1:D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N131"/>
  <sheetViews>
    <sheetView zoomScale="77" zoomScaleNormal="77" zoomScalePageLayoutView="0" workbookViewId="0" topLeftCell="A1">
      <selection activeCell="I39" sqref="I39"/>
    </sheetView>
  </sheetViews>
  <sheetFormatPr defaultColWidth="9.140625" defaultRowHeight="15"/>
  <cols>
    <col min="1" max="1" width="13.57421875" style="1" customWidth="1"/>
    <col min="2" max="16384" width="9.140625" style="1" customWidth="1"/>
  </cols>
  <sheetData>
    <row r="2" spans="2:8" ht="12.75">
      <c r="B2" s="480" t="s">
        <v>75</v>
      </c>
      <c r="C2" s="480"/>
      <c r="D2" s="480"/>
      <c r="E2" s="480"/>
      <c r="F2" s="480"/>
      <c r="G2" s="480"/>
      <c r="H2" s="480"/>
    </row>
    <row r="3" spans="2:8" ht="12.75">
      <c r="B3" s="139" t="s">
        <v>76</v>
      </c>
      <c r="C3" s="481" t="s">
        <v>77</v>
      </c>
      <c r="D3" s="481"/>
      <c r="E3" s="481"/>
      <c r="F3" s="481"/>
      <c r="G3" s="481"/>
      <c r="H3" s="481"/>
    </row>
    <row r="4" spans="2:8" ht="12.75">
      <c r="B4" s="140" t="s">
        <v>78</v>
      </c>
      <c r="C4" s="479" t="s">
        <v>79</v>
      </c>
      <c r="D4" s="479"/>
      <c r="E4" s="479"/>
      <c r="F4" s="479"/>
      <c r="G4" s="479"/>
      <c r="H4" s="479"/>
    </row>
    <row r="5" spans="2:8" ht="12.75">
      <c r="B5" s="140" t="s">
        <v>80</v>
      </c>
      <c r="C5" s="479" t="s">
        <v>81</v>
      </c>
      <c r="D5" s="479"/>
      <c r="E5" s="479"/>
      <c r="F5" s="479"/>
      <c r="G5" s="479"/>
      <c r="H5" s="479"/>
    </row>
    <row r="6" spans="2:8" ht="12.75">
      <c r="B6" s="139" t="s">
        <v>82</v>
      </c>
      <c r="C6" s="479" t="s">
        <v>83</v>
      </c>
      <c r="D6" s="479"/>
      <c r="E6" s="479"/>
      <c r="F6" s="479"/>
      <c r="G6" s="479"/>
      <c r="H6" s="479"/>
    </row>
    <row r="7" spans="2:8" ht="12.75">
      <c r="B7" s="139" t="s">
        <v>84</v>
      </c>
      <c r="C7" s="481" t="s">
        <v>85</v>
      </c>
      <c r="D7" s="481"/>
      <c r="E7" s="481"/>
      <c r="F7" s="481"/>
      <c r="G7" s="481"/>
      <c r="H7" s="481"/>
    </row>
    <row r="8" spans="2:8" ht="12.75">
      <c r="B8" s="139"/>
      <c r="C8" s="479" t="s">
        <v>86</v>
      </c>
      <c r="D8" s="479"/>
      <c r="E8" s="479"/>
      <c r="F8" s="479"/>
      <c r="G8" s="479"/>
      <c r="H8" s="479"/>
    </row>
    <row r="9" ht="12.75">
      <c r="C9" s="141"/>
    </row>
    <row r="11" spans="1:3" ht="12.75">
      <c r="A11" s="142" t="s">
        <v>87</v>
      </c>
      <c r="B11" s="142" t="s">
        <v>88</v>
      </c>
      <c r="C11" s="142" t="s">
        <v>89</v>
      </c>
    </row>
    <row r="12" spans="1:3" ht="15">
      <c r="A12" s="180" t="s">
        <v>226</v>
      </c>
      <c r="B12" s="180" t="s">
        <v>114</v>
      </c>
      <c r="C12" s="180" t="s">
        <v>227</v>
      </c>
    </row>
    <row r="13" spans="1:3" ht="15">
      <c r="A13" s="180" t="s">
        <v>226</v>
      </c>
      <c r="B13" s="180" t="s">
        <v>228</v>
      </c>
      <c r="C13" s="180" t="s">
        <v>229</v>
      </c>
    </row>
    <row r="14" spans="1:3" ht="15">
      <c r="A14" s="180" t="s">
        <v>226</v>
      </c>
      <c r="B14" s="180" t="s">
        <v>82</v>
      </c>
      <c r="C14" s="180" t="s">
        <v>230</v>
      </c>
    </row>
    <row r="15" spans="1:3" ht="15">
      <c r="A15" s="180" t="s">
        <v>226</v>
      </c>
      <c r="B15" s="180" t="s">
        <v>144</v>
      </c>
      <c r="C15" s="180" t="s">
        <v>231</v>
      </c>
    </row>
    <row r="16" spans="1:3" ht="15">
      <c r="A16" s="180" t="s">
        <v>226</v>
      </c>
      <c r="B16" s="180" t="s">
        <v>82</v>
      </c>
      <c r="C16" s="180" t="s">
        <v>232</v>
      </c>
    </row>
    <row r="17" spans="1:3" ht="15">
      <c r="A17" s="180" t="s">
        <v>226</v>
      </c>
      <c r="B17" s="180" t="s">
        <v>183</v>
      </c>
      <c r="C17" s="180" t="s">
        <v>233</v>
      </c>
    </row>
    <row r="18" spans="1:3" ht="15">
      <c r="A18" s="180" t="s">
        <v>226</v>
      </c>
      <c r="B18" s="180" t="s">
        <v>234</v>
      </c>
      <c r="C18" s="180" t="s">
        <v>235</v>
      </c>
    </row>
    <row r="19" spans="1:3" ht="15">
      <c r="A19" s="180" t="s">
        <v>226</v>
      </c>
      <c r="B19" s="180" t="s">
        <v>76</v>
      </c>
      <c r="C19" s="180" t="s">
        <v>236</v>
      </c>
    </row>
    <row r="20" spans="1:3" ht="12.75">
      <c r="A20" s="1" t="s">
        <v>90</v>
      </c>
      <c r="B20" s="1" t="s">
        <v>91</v>
      </c>
      <c r="C20" s="1" t="s">
        <v>92</v>
      </c>
    </row>
    <row r="21" spans="1:3" ht="12.75">
      <c r="A21" s="1" t="s">
        <v>90</v>
      </c>
      <c r="B21" s="1" t="s">
        <v>93</v>
      </c>
      <c r="C21" s="1" t="s">
        <v>94</v>
      </c>
    </row>
    <row r="22" spans="1:3" ht="12.75">
      <c r="A22" s="1" t="s">
        <v>90</v>
      </c>
      <c r="B22" s="1" t="s">
        <v>95</v>
      </c>
      <c r="C22" s="1" t="s">
        <v>96</v>
      </c>
    </row>
    <row r="23" spans="1:3" ht="12.75">
      <c r="A23" s="1" t="s">
        <v>90</v>
      </c>
      <c r="B23" s="1" t="s">
        <v>97</v>
      </c>
      <c r="C23" s="1" t="s">
        <v>98</v>
      </c>
    </row>
    <row r="24" spans="1:3" ht="12.75">
      <c r="A24" s="1" t="s">
        <v>90</v>
      </c>
      <c r="B24" s="1" t="s">
        <v>76</v>
      </c>
      <c r="C24" s="1" t="s">
        <v>99</v>
      </c>
    </row>
    <row r="25" spans="1:3" ht="12.75">
      <c r="A25" s="1" t="s">
        <v>90</v>
      </c>
      <c r="B25" s="1" t="s">
        <v>100</v>
      </c>
      <c r="C25" s="1" t="s">
        <v>101</v>
      </c>
    </row>
    <row r="26" spans="1:3" ht="12.75">
      <c r="A26" s="1" t="s">
        <v>90</v>
      </c>
      <c r="B26" s="1" t="s">
        <v>100</v>
      </c>
      <c r="C26" s="1" t="s">
        <v>102</v>
      </c>
    </row>
    <row r="27" spans="1:3" ht="12.75">
      <c r="A27" s="1" t="s">
        <v>90</v>
      </c>
      <c r="B27" s="1" t="s">
        <v>103</v>
      </c>
      <c r="C27" s="1" t="s">
        <v>104</v>
      </c>
    </row>
    <row r="28" spans="1:3" ht="12.75">
      <c r="A28" s="1" t="s">
        <v>90</v>
      </c>
      <c r="B28" s="1" t="s">
        <v>105</v>
      </c>
      <c r="C28" s="1" t="s">
        <v>106</v>
      </c>
    </row>
    <row r="29" spans="1:3" ht="12.75">
      <c r="A29" s="1" t="s">
        <v>90</v>
      </c>
      <c r="B29" s="1" t="s">
        <v>100</v>
      </c>
      <c r="C29" s="1" t="s">
        <v>107</v>
      </c>
    </row>
    <row r="30" spans="1:3" ht="12.75">
      <c r="A30" s="1" t="s">
        <v>108</v>
      </c>
      <c r="B30" s="1" t="s">
        <v>78</v>
      </c>
      <c r="C30" s="1" t="s">
        <v>109</v>
      </c>
    </row>
    <row r="31" spans="1:3" ht="12.75">
      <c r="A31" s="1" t="s">
        <v>108</v>
      </c>
      <c r="B31" s="1" t="s">
        <v>80</v>
      </c>
      <c r="C31" s="1" t="s">
        <v>110</v>
      </c>
    </row>
    <row r="32" spans="1:3" ht="12.75">
      <c r="A32" s="1" t="s">
        <v>108</v>
      </c>
      <c r="B32" s="1" t="s">
        <v>80</v>
      </c>
      <c r="C32" s="1" t="s">
        <v>111</v>
      </c>
    </row>
    <row r="33" spans="1:3" ht="12.75">
      <c r="A33" s="1" t="s">
        <v>108</v>
      </c>
      <c r="B33" s="1" t="s">
        <v>76</v>
      </c>
      <c r="C33" s="1" t="s">
        <v>112</v>
      </c>
    </row>
    <row r="34" spans="1:3" ht="12.75">
      <c r="A34" s="1" t="s">
        <v>108</v>
      </c>
      <c r="B34" s="1" t="s">
        <v>76</v>
      </c>
      <c r="C34" s="1" t="s">
        <v>113</v>
      </c>
    </row>
    <row r="35" spans="1:3" ht="12.75">
      <c r="A35" s="1" t="s">
        <v>108</v>
      </c>
      <c r="B35" s="1" t="s">
        <v>114</v>
      </c>
      <c r="C35" s="1" t="s">
        <v>115</v>
      </c>
    </row>
    <row r="36" spans="1:3" ht="12.75">
      <c r="A36" s="1" t="s">
        <v>108</v>
      </c>
      <c r="B36" s="1" t="s">
        <v>76</v>
      </c>
      <c r="C36" s="1" t="s">
        <v>116</v>
      </c>
    </row>
    <row r="37" spans="1:3" ht="12.75">
      <c r="A37" s="1" t="s">
        <v>108</v>
      </c>
      <c r="B37" s="1" t="s">
        <v>82</v>
      </c>
      <c r="C37" s="1" t="s">
        <v>117</v>
      </c>
    </row>
    <row r="38" spans="1:8" ht="12.75">
      <c r="A38" s="301" t="s">
        <v>239</v>
      </c>
      <c r="B38" s="301" t="s">
        <v>244</v>
      </c>
      <c r="C38" s="302" t="s">
        <v>240</v>
      </c>
      <c r="D38" s="301"/>
      <c r="E38" s="301"/>
      <c r="F38" s="301"/>
      <c r="G38" s="301"/>
      <c r="H38" s="301"/>
    </row>
    <row r="39" spans="1:8" ht="12.75">
      <c r="A39" s="301" t="s">
        <v>239</v>
      </c>
      <c r="B39" s="301" t="s">
        <v>244</v>
      </c>
      <c r="C39" s="302" t="s">
        <v>241</v>
      </c>
      <c r="D39" s="301"/>
      <c r="E39" s="301"/>
      <c r="F39" s="301"/>
      <c r="G39" s="301"/>
      <c r="H39" s="301"/>
    </row>
    <row r="40" spans="1:8" ht="12.75">
      <c r="A40" s="301" t="s">
        <v>239</v>
      </c>
      <c r="B40" s="301" t="s">
        <v>100</v>
      </c>
      <c r="C40" s="302" t="s">
        <v>242</v>
      </c>
      <c r="D40" s="301"/>
      <c r="E40" s="301"/>
      <c r="F40" s="301"/>
      <c r="G40" s="301"/>
      <c r="H40" s="301"/>
    </row>
    <row r="41" spans="1:8" ht="12.75">
      <c r="A41" s="301" t="s">
        <v>239</v>
      </c>
      <c r="B41" s="301" t="s">
        <v>78</v>
      </c>
      <c r="C41" s="301" t="s">
        <v>243</v>
      </c>
      <c r="D41" s="301"/>
      <c r="E41" s="301"/>
      <c r="F41" s="301"/>
      <c r="G41" s="301"/>
      <c r="H41" s="301"/>
    </row>
    <row r="42" spans="1:3" ht="12.75">
      <c r="A42" s="301" t="s">
        <v>239</v>
      </c>
      <c r="B42" s="141" t="s">
        <v>82</v>
      </c>
      <c r="C42" s="141" t="s">
        <v>245</v>
      </c>
    </row>
    <row r="43" spans="1:3" ht="12.75">
      <c r="A43" s="141" t="s">
        <v>118</v>
      </c>
      <c r="B43" s="1" t="s">
        <v>76</v>
      </c>
      <c r="C43" s="1" t="s">
        <v>119</v>
      </c>
    </row>
    <row r="44" spans="1:3" ht="12.75">
      <c r="A44" s="141" t="s">
        <v>118</v>
      </c>
      <c r="B44" s="1" t="s">
        <v>76</v>
      </c>
      <c r="C44" s="1" t="s">
        <v>120</v>
      </c>
    </row>
    <row r="45" spans="1:3" ht="12.75">
      <c r="A45" s="141" t="s">
        <v>118</v>
      </c>
      <c r="B45" s="1" t="s">
        <v>121</v>
      </c>
      <c r="C45" s="1" t="s">
        <v>122</v>
      </c>
    </row>
    <row r="46" spans="1:3" ht="12.75">
      <c r="A46" s="141" t="s">
        <v>118</v>
      </c>
      <c r="B46" s="1" t="s">
        <v>123</v>
      </c>
      <c r="C46" s="1" t="s">
        <v>124</v>
      </c>
    </row>
    <row r="47" spans="1:3" ht="12.75">
      <c r="A47" s="141" t="s">
        <v>118</v>
      </c>
      <c r="B47" s="1" t="s">
        <v>121</v>
      </c>
      <c r="C47" s="1" t="s">
        <v>125</v>
      </c>
    </row>
    <row r="48" spans="1:3" ht="12.75">
      <c r="A48" s="126" t="s">
        <v>118</v>
      </c>
      <c r="B48" s="1" t="s">
        <v>82</v>
      </c>
      <c r="C48" s="1" t="s">
        <v>126</v>
      </c>
    </row>
    <row r="49" spans="1:3" ht="12.75">
      <c r="A49" s="141" t="s">
        <v>118</v>
      </c>
      <c r="B49" s="141" t="s">
        <v>100</v>
      </c>
      <c r="C49" s="141" t="s">
        <v>127</v>
      </c>
    </row>
    <row r="50" spans="1:3" ht="12.75">
      <c r="A50" s="141" t="s">
        <v>118</v>
      </c>
      <c r="B50" s="141" t="s">
        <v>114</v>
      </c>
      <c r="C50" s="141" t="s">
        <v>128</v>
      </c>
    </row>
    <row r="51" spans="1:3" ht="12.75">
      <c r="A51" s="141" t="s">
        <v>118</v>
      </c>
      <c r="B51" s="141" t="s">
        <v>121</v>
      </c>
      <c r="C51" s="141" t="s">
        <v>129</v>
      </c>
    </row>
    <row r="52" spans="1:3" ht="12.75">
      <c r="A52" s="141" t="s">
        <v>118</v>
      </c>
      <c r="B52" s="141" t="s">
        <v>130</v>
      </c>
      <c r="C52" s="141" t="s">
        <v>131</v>
      </c>
    </row>
    <row r="53" spans="1:3" ht="12.75">
      <c r="A53" s="141" t="s">
        <v>118</v>
      </c>
      <c r="B53" s="141" t="s">
        <v>132</v>
      </c>
      <c r="C53" s="141" t="s">
        <v>133</v>
      </c>
    </row>
    <row r="54" spans="1:3" ht="12.75">
      <c r="A54" s="141" t="s">
        <v>134</v>
      </c>
      <c r="B54" s="141" t="s">
        <v>76</v>
      </c>
      <c r="C54" s="141" t="s">
        <v>135</v>
      </c>
    </row>
    <row r="55" spans="1:3" ht="12.75">
      <c r="A55" s="141" t="s">
        <v>134</v>
      </c>
      <c r="B55" s="141" t="s">
        <v>76</v>
      </c>
      <c r="C55" s="141" t="s">
        <v>136</v>
      </c>
    </row>
    <row r="56" spans="1:3" ht="12.75">
      <c r="A56" s="141" t="s">
        <v>134</v>
      </c>
      <c r="B56" s="141" t="s">
        <v>82</v>
      </c>
      <c r="C56" s="141" t="s">
        <v>137</v>
      </c>
    </row>
    <row r="57" spans="1:3" ht="12.75">
      <c r="A57" s="141" t="s">
        <v>134</v>
      </c>
      <c r="B57" s="141" t="s">
        <v>103</v>
      </c>
      <c r="C57" s="141" t="s">
        <v>138</v>
      </c>
    </row>
    <row r="58" spans="1:3" ht="12.75">
      <c r="A58" s="141" t="s">
        <v>134</v>
      </c>
      <c r="B58" s="141" t="s">
        <v>93</v>
      </c>
      <c r="C58" s="141" t="s">
        <v>139</v>
      </c>
    </row>
    <row r="59" spans="1:3" ht="12.75">
      <c r="A59" s="141" t="s">
        <v>134</v>
      </c>
      <c r="B59" s="141" t="s">
        <v>140</v>
      </c>
      <c r="C59" s="141" t="s">
        <v>141</v>
      </c>
    </row>
    <row r="60" spans="1:3" ht="12.75">
      <c r="A60" s="141" t="s">
        <v>134</v>
      </c>
      <c r="B60" s="141" t="s">
        <v>91</v>
      </c>
      <c r="C60" s="141" t="s">
        <v>142</v>
      </c>
    </row>
    <row r="61" spans="1:3" ht="12.75">
      <c r="A61" s="141" t="s">
        <v>134</v>
      </c>
      <c r="B61" s="141" t="s">
        <v>78</v>
      </c>
      <c r="C61" s="141" t="s">
        <v>143</v>
      </c>
    </row>
    <row r="62" spans="1:3" ht="12.75">
      <c r="A62" s="141" t="s">
        <v>134</v>
      </c>
      <c r="B62" s="141" t="s">
        <v>144</v>
      </c>
      <c r="C62" s="141" t="s">
        <v>145</v>
      </c>
    </row>
    <row r="63" spans="1:3" ht="12.75">
      <c r="A63" s="141" t="s">
        <v>134</v>
      </c>
      <c r="B63" s="141" t="s">
        <v>100</v>
      </c>
      <c r="C63" s="141" t="s">
        <v>146</v>
      </c>
    </row>
    <row r="64" spans="1:3" ht="12.75">
      <c r="A64" s="141" t="s">
        <v>134</v>
      </c>
      <c r="B64" s="141" t="s">
        <v>93</v>
      </c>
      <c r="C64" s="141" t="s">
        <v>147</v>
      </c>
    </row>
    <row r="65" spans="1:3" ht="12.75">
      <c r="A65" s="141" t="s">
        <v>134</v>
      </c>
      <c r="B65" s="141" t="s">
        <v>148</v>
      </c>
      <c r="C65" s="141" t="s">
        <v>149</v>
      </c>
    </row>
    <row r="66" spans="1:3" ht="12.75">
      <c r="A66" s="141" t="s">
        <v>134</v>
      </c>
      <c r="B66" s="141" t="s">
        <v>148</v>
      </c>
      <c r="C66" s="141" t="s">
        <v>150</v>
      </c>
    </row>
    <row r="67" spans="1:3" ht="12.75">
      <c r="A67" s="141" t="s">
        <v>134</v>
      </c>
      <c r="B67" s="141" t="s">
        <v>151</v>
      </c>
      <c r="C67" s="141" t="s">
        <v>152</v>
      </c>
    </row>
    <row r="68" spans="1:3" ht="12.75">
      <c r="A68" s="301" t="s">
        <v>246</v>
      </c>
      <c r="B68" s="301" t="s">
        <v>100</v>
      </c>
      <c r="C68" s="301" t="s">
        <v>256</v>
      </c>
    </row>
    <row r="69" spans="1:3" ht="12.75">
      <c r="A69" s="301" t="s">
        <v>246</v>
      </c>
      <c r="B69" s="301" t="s">
        <v>100</v>
      </c>
      <c r="C69" s="301" t="s">
        <v>250</v>
      </c>
    </row>
    <row r="70" spans="1:3" ht="12.75">
      <c r="A70" s="301" t="s">
        <v>246</v>
      </c>
      <c r="B70" s="301" t="s">
        <v>244</v>
      </c>
      <c r="C70" s="301" t="s">
        <v>251</v>
      </c>
    </row>
    <row r="71" spans="1:3" ht="12.75">
      <c r="A71" s="301" t="s">
        <v>246</v>
      </c>
      <c r="B71" s="301" t="s">
        <v>100</v>
      </c>
      <c r="C71" s="302" t="s">
        <v>252</v>
      </c>
    </row>
    <row r="72" spans="1:3" ht="12.75">
      <c r="A72" s="301" t="s">
        <v>246</v>
      </c>
      <c r="B72" s="301" t="s">
        <v>247</v>
      </c>
      <c r="C72" s="302" t="s">
        <v>253</v>
      </c>
    </row>
    <row r="73" spans="1:3" ht="12.75">
      <c r="A73" s="301" t="s">
        <v>246</v>
      </c>
      <c r="B73" s="301" t="s">
        <v>82</v>
      </c>
      <c r="C73" s="301" t="s">
        <v>254</v>
      </c>
    </row>
    <row r="74" spans="1:3" ht="12.75">
      <c r="A74" s="301" t="s">
        <v>246</v>
      </c>
      <c r="B74" s="301" t="s">
        <v>82</v>
      </c>
      <c r="C74" s="303" t="s">
        <v>255</v>
      </c>
    </row>
    <row r="75" spans="1:3" ht="12.75">
      <c r="A75" s="301" t="s">
        <v>246</v>
      </c>
      <c r="B75" s="301" t="s">
        <v>82</v>
      </c>
      <c r="C75" s="303" t="s">
        <v>249</v>
      </c>
    </row>
    <row r="76" spans="1:3" ht="12.75">
      <c r="A76" s="301" t="s">
        <v>262</v>
      </c>
      <c r="B76" s="301" t="s">
        <v>100</v>
      </c>
      <c r="C76" s="301" t="s">
        <v>263</v>
      </c>
    </row>
    <row r="77" spans="1:3" ht="12.75">
      <c r="A77" s="301" t="s">
        <v>262</v>
      </c>
      <c r="B77" s="301" t="s">
        <v>82</v>
      </c>
      <c r="C77" s="302" t="s">
        <v>264</v>
      </c>
    </row>
    <row r="78" spans="1:3" ht="12.75">
      <c r="A78" s="301" t="s">
        <v>262</v>
      </c>
      <c r="B78" s="301" t="s">
        <v>100</v>
      </c>
      <c r="C78" s="302" t="s">
        <v>265</v>
      </c>
    </row>
    <row r="79" spans="1:3" ht="12.75">
      <c r="A79" s="301" t="s">
        <v>262</v>
      </c>
      <c r="B79" s="301" t="s">
        <v>82</v>
      </c>
      <c r="C79" s="301" t="s">
        <v>266</v>
      </c>
    </row>
    <row r="80" spans="1:3" ht="12.75">
      <c r="A80" s="141" t="s">
        <v>153</v>
      </c>
      <c r="B80" s="141" t="s">
        <v>154</v>
      </c>
      <c r="C80" s="141" t="s">
        <v>155</v>
      </c>
    </row>
    <row r="81" spans="1:3" ht="12.75">
      <c r="A81" s="141" t="s">
        <v>153</v>
      </c>
      <c r="B81" s="141" t="s">
        <v>156</v>
      </c>
      <c r="C81" s="141" t="s">
        <v>157</v>
      </c>
    </row>
    <row r="82" spans="1:3" ht="12.75">
      <c r="A82" s="141" t="s">
        <v>153</v>
      </c>
      <c r="B82" s="141" t="s">
        <v>156</v>
      </c>
      <c r="C82" s="141" t="s">
        <v>158</v>
      </c>
    </row>
    <row r="83" spans="1:3" ht="12.75">
      <c r="A83" s="141" t="s">
        <v>153</v>
      </c>
      <c r="B83" s="141" t="s">
        <v>159</v>
      </c>
      <c r="C83" s="141" t="s">
        <v>160</v>
      </c>
    </row>
    <row r="84" spans="1:3" ht="12.75">
      <c r="A84" s="141" t="s">
        <v>153</v>
      </c>
      <c r="B84" s="141" t="s">
        <v>76</v>
      </c>
      <c r="C84" s="141" t="s">
        <v>161</v>
      </c>
    </row>
    <row r="85" spans="1:3" ht="12.75">
      <c r="A85" s="141" t="s">
        <v>153</v>
      </c>
      <c r="B85" s="141" t="s">
        <v>103</v>
      </c>
      <c r="C85" s="141" t="s">
        <v>162</v>
      </c>
    </row>
    <row r="86" spans="1:3" ht="12.75">
      <c r="A86" s="141" t="s">
        <v>153</v>
      </c>
      <c r="B86" s="141" t="s">
        <v>163</v>
      </c>
      <c r="C86" s="141" t="s">
        <v>164</v>
      </c>
    </row>
    <row r="87" spans="1:3" ht="12.75">
      <c r="A87" s="141" t="s">
        <v>153</v>
      </c>
      <c r="B87" s="141" t="s">
        <v>100</v>
      </c>
      <c r="C87" s="141" t="s">
        <v>165</v>
      </c>
    </row>
    <row r="88" spans="1:3" ht="12.75">
      <c r="A88" s="141" t="s">
        <v>166</v>
      </c>
      <c r="B88" s="141" t="s">
        <v>82</v>
      </c>
      <c r="C88" s="141" t="s">
        <v>167</v>
      </c>
    </row>
    <row r="89" spans="1:3" ht="12.75">
      <c r="A89" s="141" t="s">
        <v>166</v>
      </c>
      <c r="B89" s="141" t="s">
        <v>100</v>
      </c>
      <c r="C89" s="141" t="s">
        <v>168</v>
      </c>
    </row>
    <row r="90" spans="1:3" ht="12.75">
      <c r="A90" s="141" t="s">
        <v>166</v>
      </c>
      <c r="B90" s="141" t="s">
        <v>78</v>
      </c>
      <c r="C90" s="141" t="s">
        <v>169</v>
      </c>
    </row>
    <row r="91" spans="1:3" ht="12.75">
      <c r="A91" s="141" t="s">
        <v>166</v>
      </c>
      <c r="B91" s="141" t="s">
        <v>170</v>
      </c>
      <c r="C91" s="141" t="s">
        <v>171</v>
      </c>
    </row>
    <row r="92" spans="1:3" ht="12.75">
      <c r="A92" s="141" t="s">
        <v>166</v>
      </c>
      <c r="B92" s="141" t="s">
        <v>140</v>
      </c>
      <c r="C92" s="141" t="s">
        <v>172</v>
      </c>
    </row>
    <row r="93" spans="1:3" ht="12.75">
      <c r="A93" s="141" t="s">
        <v>166</v>
      </c>
      <c r="B93" s="141" t="s">
        <v>82</v>
      </c>
      <c r="C93" s="141" t="s">
        <v>173</v>
      </c>
    </row>
    <row r="94" spans="1:3" ht="12.75">
      <c r="A94" s="141" t="s">
        <v>166</v>
      </c>
      <c r="B94" s="141" t="s">
        <v>78</v>
      </c>
      <c r="C94" s="141" t="s">
        <v>176</v>
      </c>
    </row>
    <row r="95" spans="1:3" ht="12.75">
      <c r="A95" s="141" t="s">
        <v>166</v>
      </c>
      <c r="B95" s="141" t="s">
        <v>78</v>
      </c>
      <c r="C95" s="141" t="s">
        <v>178</v>
      </c>
    </row>
    <row r="96" spans="1:3" ht="12.75">
      <c r="A96" s="141" t="s">
        <v>174</v>
      </c>
      <c r="B96" s="141" t="s">
        <v>100</v>
      </c>
      <c r="C96" s="141" t="s">
        <v>175</v>
      </c>
    </row>
    <row r="97" spans="1:3" ht="12.75">
      <c r="A97" s="141" t="s">
        <v>174</v>
      </c>
      <c r="B97" s="141" t="s">
        <v>100</v>
      </c>
      <c r="C97" s="141" t="s">
        <v>177</v>
      </c>
    </row>
    <row r="98" spans="1:3" ht="12.75">
      <c r="A98" s="141" t="s">
        <v>179</v>
      </c>
      <c r="B98" s="141" t="s">
        <v>82</v>
      </c>
      <c r="C98" s="141" t="s">
        <v>180</v>
      </c>
    </row>
    <row r="99" spans="1:3" ht="12.75">
      <c r="A99" s="141" t="s">
        <v>179</v>
      </c>
      <c r="B99" s="141" t="s">
        <v>181</v>
      </c>
      <c r="C99" s="141" t="s">
        <v>182</v>
      </c>
    </row>
    <row r="100" spans="1:3" ht="12.75">
      <c r="A100" s="141" t="s">
        <v>179</v>
      </c>
      <c r="B100" s="141" t="s">
        <v>183</v>
      </c>
      <c r="C100" s="141" t="s">
        <v>184</v>
      </c>
    </row>
    <row r="101" spans="1:3" ht="12.75">
      <c r="A101" s="141" t="s">
        <v>179</v>
      </c>
      <c r="B101" s="141" t="s">
        <v>185</v>
      </c>
      <c r="C101" s="141" t="s">
        <v>186</v>
      </c>
    </row>
    <row r="102" spans="1:3" ht="12.75">
      <c r="A102" s="141" t="s">
        <v>179</v>
      </c>
      <c r="B102" s="141" t="s">
        <v>82</v>
      </c>
      <c r="C102" s="141" t="s">
        <v>187</v>
      </c>
    </row>
    <row r="103" spans="1:3" ht="12.75">
      <c r="A103" s="141" t="s">
        <v>179</v>
      </c>
      <c r="B103" s="141" t="s">
        <v>183</v>
      </c>
      <c r="C103" s="141" t="s">
        <v>188</v>
      </c>
    </row>
    <row r="104" spans="1:3" ht="12.75">
      <c r="A104" s="141" t="s">
        <v>179</v>
      </c>
      <c r="B104" s="141" t="s">
        <v>189</v>
      </c>
      <c r="C104" s="141" t="s">
        <v>190</v>
      </c>
    </row>
    <row r="105" spans="1:3" ht="12.75">
      <c r="A105" s="141" t="s">
        <v>191</v>
      </c>
      <c r="B105" s="141" t="s">
        <v>82</v>
      </c>
      <c r="C105" s="141" t="s">
        <v>192</v>
      </c>
    </row>
    <row r="106" spans="1:3" ht="12.75">
      <c r="A106" s="141" t="s">
        <v>191</v>
      </c>
      <c r="B106" s="141" t="s">
        <v>82</v>
      </c>
      <c r="C106" s="141" t="s">
        <v>193</v>
      </c>
    </row>
    <row r="107" spans="1:3" ht="12.75">
      <c r="A107" s="141" t="s">
        <v>191</v>
      </c>
      <c r="B107" s="141" t="s">
        <v>91</v>
      </c>
      <c r="C107" s="141" t="s">
        <v>194</v>
      </c>
    </row>
    <row r="108" spans="1:3" ht="12.75">
      <c r="A108" s="141" t="s">
        <v>191</v>
      </c>
      <c r="B108" s="141" t="s">
        <v>100</v>
      </c>
      <c r="C108" s="141" t="s">
        <v>195</v>
      </c>
    </row>
    <row r="109" spans="1:3" ht="12.75">
      <c r="A109" s="301" t="s">
        <v>248</v>
      </c>
      <c r="B109" s="301" t="s">
        <v>100</v>
      </c>
      <c r="C109" s="301" t="s">
        <v>257</v>
      </c>
    </row>
    <row r="110" spans="1:14" ht="12.75">
      <c r="A110" s="301" t="s">
        <v>248</v>
      </c>
      <c r="B110" s="301" t="s">
        <v>100</v>
      </c>
      <c r="C110" s="301" t="s">
        <v>258</v>
      </c>
      <c r="I110" s="301"/>
      <c r="J110" s="301"/>
      <c r="K110" s="301"/>
      <c r="L110" s="301"/>
      <c r="M110" s="301"/>
      <c r="N110" s="301"/>
    </row>
    <row r="111" spans="1:14" ht="12.75">
      <c r="A111" s="301" t="s">
        <v>248</v>
      </c>
      <c r="B111" s="301" t="s">
        <v>76</v>
      </c>
      <c r="C111" s="301" t="s">
        <v>259</v>
      </c>
      <c r="I111" s="301"/>
      <c r="J111" s="301"/>
      <c r="K111" s="301"/>
      <c r="L111" s="301"/>
      <c r="M111" s="301"/>
      <c r="N111" s="301"/>
    </row>
    <row r="112" spans="1:14" ht="12.75">
      <c r="A112" s="301" t="s">
        <v>248</v>
      </c>
      <c r="B112" s="301" t="s">
        <v>76</v>
      </c>
      <c r="C112" s="301" t="s">
        <v>260</v>
      </c>
      <c r="I112" s="301"/>
      <c r="J112" s="301"/>
      <c r="K112" s="301"/>
      <c r="L112" s="301"/>
      <c r="M112" s="301"/>
      <c r="N112" s="301"/>
    </row>
    <row r="113" spans="1:14" ht="12.75">
      <c r="A113" s="301" t="s">
        <v>248</v>
      </c>
      <c r="B113" s="301" t="s">
        <v>144</v>
      </c>
      <c r="C113" s="301" t="s">
        <v>261</v>
      </c>
      <c r="I113" s="301"/>
      <c r="J113" s="301"/>
      <c r="K113" s="301"/>
      <c r="L113" s="301"/>
      <c r="M113" s="301"/>
      <c r="N113" s="301"/>
    </row>
    <row r="114" spans="1:3" ht="12.75">
      <c r="A114" s="141" t="s">
        <v>196</v>
      </c>
      <c r="B114" s="141" t="s">
        <v>76</v>
      </c>
      <c r="C114" s="141" t="s">
        <v>197</v>
      </c>
    </row>
    <row r="115" spans="1:3" ht="12.75">
      <c r="A115" s="141" t="s">
        <v>196</v>
      </c>
      <c r="B115" s="141" t="s">
        <v>105</v>
      </c>
      <c r="C115" s="141" t="s">
        <v>198</v>
      </c>
    </row>
    <row r="116" spans="1:3" ht="12.75">
      <c r="A116" s="141" t="s">
        <v>196</v>
      </c>
      <c r="B116" s="141" t="s">
        <v>105</v>
      </c>
      <c r="C116" s="141" t="s">
        <v>199</v>
      </c>
    </row>
    <row r="117" spans="1:3" ht="12.75">
      <c r="A117" s="141" t="s">
        <v>196</v>
      </c>
      <c r="B117" s="141" t="s">
        <v>105</v>
      </c>
      <c r="C117" s="141" t="s">
        <v>200</v>
      </c>
    </row>
    <row r="118" spans="1:3" ht="12.75">
      <c r="A118" s="141" t="s">
        <v>196</v>
      </c>
      <c r="B118" s="141" t="s">
        <v>76</v>
      </c>
      <c r="C118" s="141" t="s">
        <v>201</v>
      </c>
    </row>
    <row r="119" spans="1:3" ht="12.75">
      <c r="A119" s="141" t="s">
        <v>196</v>
      </c>
      <c r="B119" s="141" t="s">
        <v>82</v>
      </c>
      <c r="C119" s="141" t="s">
        <v>202</v>
      </c>
    </row>
    <row r="120" spans="1:3" ht="12.75">
      <c r="A120" s="141" t="s">
        <v>203</v>
      </c>
      <c r="B120" s="141" t="s">
        <v>204</v>
      </c>
      <c r="C120" s="141" t="s">
        <v>205</v>
      </c>
    </row>
    <row r="121" spans="1:3" ht="12.75">
      <c r="A121" s="141" t="s">
        <v>203</v>
      </c>
      <c r="B121" s="141" t="s">
        <v>105</v>
      </c>
      <c r="C121" s="141" t="s">
        <v>206</v>
      </c>
    </row>
    <row r="122" spans="1:3" ht="12.75">
      <c r="A122" s="141" t="s">
        <v>203</v>
      </c>
      <c r="B122" s="141" t="s">
        <v>207</v>
      </c>
      <c r="C122" s="141" t="s">
        <v>208</v>
      </c>
    </row>
    <row r="123" spans="1:3" ht="12.75">
      <c r="A123" s="141" t="s">
        <v>203</v>
      </c>
      <c r="B123" s="141" t="s">
        <v>76</v>
      </c>
      <c r="C123" s="141" t="s">
        <v>209</v>
      </c>
    </row>
    <row r="124" spans="1:3" ht="12.75">
      <c r="A124" s="141" t="s">
        <v>210</v>
      </c>
      <c r="B124" s="141" t="s">
        <v>144</v>
      </c>
      <c r="C124" s="141" t="s">
        <v>211</v>
      </c>
    </row>
    <row r="125" spans="1:3" ht="12.75">
      <c r="A125" s="141" t="s">
        <v>210</v>
      </c>
      <c r="B125" s="141" t="s">
        <v>76</v>
      </c>
      <c r="C125" s="141" t="s">
        <v>212</v>
      </c>
    </row>
    <row r="126" spans="1:3" ht="12.75">
      <c r="A126" s="141" t="s">
        <v>210</v>
      </c>
      <c r="B126" s="141" t="s">
        <v>82</v>
      </c>
      <c r="C126" s="141" t="s">
        <v>213</v>
      </c>
    </row>
    <row r="127" spans="1:3" ht="12.75">
      <c r="A127" s="141" t="s">
        <v>210</v>
      </c>
      <c r="B127" s="141" t="s">
        <v>76</v>
      </c>
      <c r="C127" s="141" t="s">
        <v>214</v>
      </c>
    </row>
    <row r="128" spans="1:3" ht="12.75">
      <c r="A128" s="141" t="s">
        <v>210</v>
      </c>
      <c r="B128" s="141" t="s">
        <v>100</v>
      </c>
      <c r="C128" s="141" t="s">
        <v>215</v>
      </c>
    </row>
    <row r="129" spans="1:3" ht="12.75">
      <c r="A129" s="141" t="s">
        <v>210</v>
      </c>
      <c r="B129" s="141" t="s">
        <v>100</v>
      </c>
      <c r="C129" s="141" t="s">
        <v>216</v>
      </c>
    </row>
    <row r="130" spans="1:3" ht="12.75">
      <c r="A130" s="141" t="s">
        <v>210</v>
      </c>
      <c r="B130" s="141" t="s">
        <v>183</v>
      </c>
      <c r="C130" s="141" t="s">
        <v>217</v>
      </c>
    </row>
    <row r="131" spans="1:3" ht="12.75">
      <c r="A131" s="141" t="s">
        <v>210</v>
      </c>
      <c r="B131" s="141" t="s">
        <v>82</v>
      </c>
      <c r="C131" s="141" t="s">
        <v>218</v>
      </c>
    </row>
  </sheetData>
  <sheetProtection/>
  <autoFilter ref="A11:C131"/>
  <mergeCells count="7">
    <mergeCell ref="C8:H8"/>
    <mergeCell ref="B2:H2"/>
    <mergeCell ref="C3:H3"/>
    <mergeCell ref="C4:H4"/>
    <mergeCell ref="C5:H5"/>
    <mergeCell ref="C6:H6"/>
    <mergeCell ref="C7:H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23"/>
  <sheetViews>
    <sheetView zoomScalePageLayoutView="0" workbookViewId="0" topLeftCell="A1">
      <selection activeCell="F28" sqref="F28"/>
    </sheetView>
  </sheetViews>
  <sheetFormatPr defaultColWidth="8.00390625" defaultRowHeight="15"/>
  <cols>
    <col min="1" max="1" width="31.28125" style="304" customWidth="1"/>
    <col min="2" max="19" width="5.57421875" style="304" bestFit="1" customWidth="1"/>
    <col min="20" max="21" width="8.00390625" style="304" customWidth="1"/>
    <col min="22" max="22" width="21.8515625" style="304" customWidth="1"/>
    <col min="23" max="16384" width="8.00390625" style="304" customWidth="1"/>
  </cols>
  <sheetData>
    <row r="1" spans="1:19" ht="11.25" thickBot="1">
      <c r="A1" s="311" t="s">
        <v>267</v>
      </c>
      <c r="B1" s="310"/>
      <c r="C1" s="310"/>
      <c r="D1" s="310"/>
      <c r="E1" s="310"/>
      <c r="F1" s="310"/>
      <c r="G1" s="310"/>
      <c r="H1" s="310"/>
      <c r="I1" s="310"/>
      <c r="J1" s="310"/>
      <c r="K1" s="310"/>
      <c r="L1" s="310"/>
      <c r="M1" s="310"/>
      <c r="N1" s="310"/>
      <c r="O1" s="310"/>
      <c r="P1" s="310"/>
      <c r="Q1" s="310"/>
      <c r="R1" s="310"/>
      <c r="S1" s="310"/>
    </row>
    <row r="2" spans="1:19" ht="10.5">
      <c r="A2" s="312" t="s">
        <v>268</v>
      </c>
      <c r="B2" s="305">
        <v>1991</v>
      </c>
      <c r="C2" s="306">
        <v>1992</v>
      </c>
      <c r="D2" s="306">
        <v>1993</v>
      </c>
      <c r="E2" s="306">
        <v>1994</v>
      </c>
      <c r="F2" s="306">
        <v>1995</v>
      </c>
      <c r="G2" s="306">
        <v>1996</v>
      </c>
      <c r="H2" s="306">
        <v>1997</v>
      </c>
      <c r="I2" s="306">
        <v>1998</v>
      </c>
      <c r="J2" s="306">
        <v>1999</v>
      </c>
      <c r="K2" s="306">
        <v>2000</v>
      </c>
      <c r="L2" s="306">
        <v>2001</v>
      </c>
      <c r="M2" s="306">
        <v>2002</v>
      </c>
      <c r="N2" s="306">
        <v>2003</v>
      </c>
      <c r="O2" s="306">
        <v>2004</v>
      </c>
      <c r="P2" s="306">
        <v>2005</v>
      </c>
      <c r="Q2" s="306">
        <v>2006</v>
      </c>
      <c r="R2" s="306">
        <v>2007</v>
      </c>
      <c r="S2" s="307">
        <v>2008</v>
      </c>
    </row>
    <row r="3" spans="1:19" ht="12.75">
      <c r="A3" s="313" t="s">
        <v>269</v>
      </c>
      <c r="B3" s="426"/>
      <c r="C3" s="426"/>
      <c r="D3" s="308" t="s">
        <v>270</v>
      </c>
      <c r="E3" s="426"/>
      <c r="F3" s="426"/>
      <c r="G3" s="426"/>
      <c r="H3" s="426"/>
      <c r="I3" s="426"/>
      <c r="J3" s="427"/>
      <c r="K3" s="427"/>
      <c r="L3" s="427"/>
      <c r="M3" s="427"/>
      <c r="N3" s="427"/>
      <c r="O3" s="427"/>
      <c r="P3" s="427"/>
      <c r="Q3" s="427"/>
      <c r="R3" s="427"/>
      <c r="S3" s="428"/>
    </row>
    <row r="4" spans="1:19" ht="10.5">
      <c r="A4" s="313" t="s">
        <v>420</v>
      </c>
      <c r="B4" s="426"/>
      <c r="C4" s="426"/>
      <c r="D4" s="426"/>
      <c r="E4" s="426"/>
      <c r="F4" s="426"/>
      <c r="G4" s="426"/>
      <c r="H4" s="426"/>
      <c r="I4" s="426"/>
      <c r="J4" s="426"/>
      <c r="K4" s="426"/>
      <c r="L4" s="426"/>
      <c r="M4" s="427"/>
      <c r="N4" s="427"/>
      <c r="O4" s="427"/>
      <c r="P4" s="427"/>
      <c r="Q4" s="427"/>
      <c r="R4" s="427"/>
      <c r="S4" s="428"/>
    </row>
    <row r="5" spans="1:19" ht="10.5">
      <c r="A5" s="313" t="s">
        <v>271</v>
      </c>
      <c r="B5" s="426"/>
      <c r="C5" s="426"/>
      <c r="D5" s="426"/>
      <c r="E5" s="426"/>
      <c r="F5" s="426"/>
      <c r="G5" s="426"/>
      <c r="H5" s="426"/>
      <c r="I5" s="426"/>
      <c r="J5" s="427"/>
      <c r="K5" s="427"/>
      <c r="L5" s="427"/>
      <c r="M5" s="427"/>
      <c r="N5" s="427"/>
      <c r="O5" s="427"/>
      <c r="P5" s="427"/>
      <c r="Q5" s="427"/>
      <c r="R5" s="427"/>
      <c r="S5" s="428"/>
    </row>
    <row r="6" spans="1:19" ht="12.75">
      <c r="A6" s="313" t="s">
        <v>272</v>
      </c>
      <c r="B6" s="426"/>
      <c r="C6" s="426"/>
      <c r="D6" s="426"/>
      <c r="E6" s="426"/>
      <c r="F6" s="308" t="s">
        <v>270</v>
      </c>
      <c r="G6" s="426"/>
      <c r="H6" s="426"/>
      <c r="I6" s="426"/>
      <c r="J6" s="426"/>
      <c r="K6" s="427"/>
      <c r="L6" s="427"/>
      <c r="M6" s="427"/>
      <c r="N6" s="427"/>
      <c r="O6" s="427"/>
      <c r="P6" s="427"/>
      <c r="Q6" s="427"/>
      <c r="R6" s="427"/>
      <c r="S6" s="428"/>
    </row>
    <row r="7" spans="1:19" ht="12.75">
      <c r="A7" s="313" t="s">
        <v>273</v>
      </c>
      <c r="B7" s="426"/>
      <c r="C7" s="426"/>
      <c r="D7" s="426"/>
      <c r="E7" s="426"/>
      <c r="F7" s="426"/>
      <c r="G7" s="426"/>
      <c r="H7" s="426"/>
      <c r="I7" s="426"/>
      <c r="J7" s="427"/>
      <c r="K7" s="427"/>
      <c r="L7" s="427"/>
      <c r="M7" s="427"/>
      <c r="N7" s="427"/>
      <c r="O7" s="427"/>
      <c r="P7" s="427"/>
      <c r="Q7" s="427"/>
      <c r="R7" s="427"/>
      <c r="S7" s="309"/>
    </row>
    <row r="8" spans="1:19" ht="10.5">
      <c r="A8" s="313" t="s">
        <v>274</v>
      </c>
      <c r="B8" s="426"/>
      <c r="C8" s="427"/>
      <c r="D8" s="427"/>
      <c r="E8" s="427"/>
      <c r="F8" s="427"/>
      <c r="G8" s="427"/>
      <c r="H8" s="427"/>
      <c r="I8" s="429"/>
      <c r="J8" s="427"/>
      <c r="K8" s="427"/>
      <c r="L8" s="427"/>
      <c r="M8" s="427"/>
      <c r="N8" s="427"/>
      <c r="O8" s="427"/>
      <c r="P8" s="427"/>
      <c r="Q8" s="427"/>
      <c r="R8" s="427"/>
      <c r="S8" s="428"/>
    </row>
    <row r="9" spans="1:19" ht="10.5">
      <c r="A9" s="313" t="s">
        <v>275</v>
      </c>
      <c r="B9" s="426"/>
      <c r="C9" s="426"/>
      <c r="D9" s="426"/>
      <c r="E9" s="426"/>
      <c r="F9" s="426"/>
      <c r="G9" s="426"/>
      <c r="H9" s="426"/>
      <c r="I9" s="426"/>
      <c r="J9" s="426"/>
      <c r="K9" s="426"/>
      <c r="L9" s="426"/>
      <c r="M9" s="426"/>
      <c r="N9" s="426"/>
      <c r="O9" s="426"/>
      <c r="P9" s="426"/>
      <c r="Q9" s="427"/>
      <c r="R9" s="427"/>
      <c r="S9" s="428"/>
    </row>
    <row r="10" spans="1:19" ht="10.5">
      <c r="A10" s="313" t="s">
        <v>421</v>
      </c>
      <c r="B10" s="426"/>
      <c r="C10" s="426"/>
      <c r="D10" s="426"/>
      <c r="E10" s="426"/>
      <c r="F10" s="426"/>
      <c r="G10" s="426"/>
      <c r="H10" s="426"/>
      <c r="I10" s="426"/>
      <c r="J10" s="426"/>
      <c r="K10" s="426"/>
      <c r="L10" s="427"/>
      <c r="M10" s="427"/>
      <c r="N10" s="427"/>
      <c r="O10" s="427"/>
      <c r="P10" s="427"/>
      <c r="Q10" s="427"/>
      <c r="R10" s="427"/>
      <c r="S10" s="428"/>
    </row>
    <row r="11" spans="1:19" ht="10.5">
      <c r="A11" s="313" t="s">
        <v>276</v>
      </c>
      <c r="B11" s="426"/>
      <c r="C11" s="426"/>
      <c r="D11" s="426"/>
      <c r="E11" s="426"/>
      <c r="F11" s="426"/>
      <c r="G11" s="426"/>
      <c r="H11" s="426"/>
      <c r="I11" s="426"/>
      <c r="J11" s="426"/>
      <c r="K11" s="426"/>
      <c r="L11" s="426"/>
      <c r="M11" s="427"/>
      <c r="N11" s="427"/>
      <c r="O11" s="427"/>
      <c r="P11" s="427"/>
      <c r="Q11" s="427"/>
      <c r="R11" s="427"/>
      <c r="S11" s="428"/>
    </row>
    <row r="12" spans="1:19" ht="12.75">
      <c r="A12" s="313" t="s">
        <v>277</v>
      </c>
      <c r="B12" s="426"/>
      <c r="C12" s="427"/>
      <c r="D12" s="427"/>
      <c r="E12" s="427"/>
      <c r="F12" s="427"/>
      <c r="G12" s="427"/>
      <c r="H12" s="427"/>
      <c r="I12" s="427"/>
      <c r="J12" s="427"/>
      <c r="K12" s="427"/>
      <c r="L12" s="427"/>
      <c r="M12" s="427"/>
      <c r="N12" s="427"/>
      <c r="O12" s="427"/>
      <c r="P12" s="427"/>
      <c r="Q12" s="427"/>
      <c r="R12" s="427"/>
      <c r="S12" s="309"/>
    </row>
    <row r="13" spans="1:19" ht="10.5">
      <c r="A13" s="313" t="s">
        <v>278</v>
      </c>
      <c r="B13" s="426"/>
      <c r="C13" s="426"/>
      <c r="D13" s="426"/>
      <c r="E13" s="426"/>
      <c r="F13" s="426"/>
      <c r="G13" s="426"/>
      <c r="H13" s="426"/>
      <c r="I13" s="426"/>
      <c r="J13" s="426"/>
      <c r="K13" s="426"/>
      <c r="L13" s="426"/>
      <c r="M13" s="426"/>
      <c r="N13" s="427"/>
      <c r="O13" s="427"/>
      <c r="P13" s="427"/>
      <c r="Q13" s="427"/>
      <c r="R13" s="427"/>
      <c r="S13" s="428"/>
    </row>
    <row r="14" spans="1:19" ht="11.25" thickBot="1">
      <c r="A14" s="314" t="s">
        <v>279</v>
      </c>
      <c r="B14" s="430"/>
      <c r="C14" s="430"/>
      <c r="D14" s="430"/>
      <c r="E14" s="430"/>
      <c r="F14" s="430"/>
      <c r="G14" s="430"/>
      <c r="H14" s="430"/>
      <c r="I14" s="430"/>
      <c r="J14" s="430"/>
      <c r="K14" s="430"/>
      <c r="L14" s="431"/>
      <c r="M14" s="430"/>
      <c r="N14" s="430"/>
      <c r="O14" s="430"/>
      <c r="P14" s="430"/>
      <c r="Q14" s="431"/>
      <c r="R14" s="431"/>
      <c r="S14" s="432"/>
    </row>
    <row r="15" spans="1:20" ht="10.5">
      <c r="A15" s="315" t="s">
        <v>280</v>
      </c>
      <c r="B15" s="433"/>
      <c r="C15" s="433"/>
      <c r="D15" s="433"/>
      <c r="E15" s="433"/>
      <c r="F15" s="433"/>
      <c r="G15" s="433"/>
      <c r="H15" s="433"/>
      <c r="I15" s="433"/>
      <c r="J15" s="433"/>
      <c r="K15" s="433"/>
      <c r="L15" s="433"/>
      <c r="M15" s="433"/>
      <c r="N15" s="433"/>
      <c r="O15" s="433"/>
      <c r="P15" s="433"/>
      <c r="Q15" s="434"/>
      <c r="R15" s="434"/>
      <c r="S15" s="435"/>
      <c r="T15" s="304" t="s">
        <v>422</v>
      </c>
    </row>
    <row r="16" spans="1:19" ht="10.5">
      <c r="A16" s="315" t="s">
        <v>224</v>
      </c>
      <c r="B16" s="433"/>
      <c r="C16" s="433"/>
      <c r="D16" s="433"/>
      <c r="E16" s="433"/>
      <c r="F16" s="433"/>
      <c r="G16" s="433"/>
      <c r="H16" s="433"/>
      <c r="I16" s="433"/>
      <c r="J16" s="433"/>
      <c r="K16" s="433"/>
      <c r="L16" s="433"/>
      <c r="M16" s="433"/>
      <c r="N16" s="433"/>
      <c r="O16" s="433"/>
      <c r="P16" s="433"/>
      <c r="Q16" s="434"/>
      <c r="R16" s="434"/>
      <c r="S16" s="435"/>
    </row>
    <row r="17" spans="1:19" ht="10.5">
      <c r="A17" s="315" t="s">
        <v>219</v>
      </c>
      <c r="B17" s="433" t="s">
        <v>270</v>
      </c>
      <c r="C17" s="433" t="s">
        <v>270</v>
      </c>
      <c r="D17" s="433"/>
      <c r="E17" s="433"/>
      <c r="F17" s="433"/>
      <c r="G17" s="433"/>
      <c r="H17" s="433"/>
      <c r="I17" s="433"/>
      <c r="J17" s="433"/>
      <c r="K17" s="433"/>
      <c r="L17" s="433"/>
      <c r="M17" s="433"/>
      <c r="N17" s="433"/>
      <c r="O17" s="433"/>
      <c r="P17" s="433"/>
      <c r="Q17" s="434"/>
      <c r="R17" s="434"/>
      <c r="S17" s="435"/>
    </row>
    <row r="18" spans="1:19" ht="11.25" thickBot="1">
      <c r="A18" s="314" t="s">
        <v>225</v>
      </c>
      <c r="B18" s="430" t="s">
        <v>270</v>
      </c>
      <c r="C18" s="430"/>
      <c r="D18" s="430"/>
      <c r="E18" s="430"/>
      <c r="F18" s="430"/>
      <c r="G18" s="430"/>
      <c r="H18" s="430"/>
      <c r="I18" s="430"/>
      <c r="J18" s="430"/>
      <c r="K18" s="430"/>
      <c r="L18" s="431"/>
      <c r="M18" s="430"/>
      <c r="N18" s="430"/>
      <c r="O18" s="430"/>
      <c r="P18" s="430"/>
      <c r="Q18" s="431"/>
      <c r="R18" s="431"/>
      <c r="S18" s="432"/>
    </row>
    <row r="19" spans="14:19" ht="10.5">
      <c r="N19" s="310"/>
      <c r="O19" s="310"/>
      <c r="P19" s="310"/>
      <c r="Q19" s="310"/>
      <c r="R19" s="310"/>
      <c r="S19" s="310"/>
    </row>
    <row r="22" spans="2:3" ht="10.5">
      <c r="B22" s="436" t="s">
        <v>377</v>
      </c>
      <c r="C22" s="436" t="s">
        <v>378</v>
      </c>
    </row>
    <row r="23" spans="2:3" ht="10.5">
      <c r="B23" s="436"/>
      <c r="C23" s="436"/>
    </row>
  </sheetData>
  <sheetProtection/>
  <printOptions horizontalCentered="1" verticalCentered="1"/>
  <pageMargins left="0.18" right="0.16" top="0.19" bottom="0.3937007874015748" header="0" footer="0"/>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pane xSplit="1" ySplit="2" topLeftCell="B30" activePane="bottomRight" state="frozen"/>
      <selection pane="topLeft" activeCell="U75" sqref="U75"/>
      <selection pane="topRight" activeCell="U75" sqref="U75"/>
      <selection pane="bottomLeft" activeCell="U75" sqref="U75"/>
      <selection pane="bottomRight" activeCell="S36" sqref="S36"/>
    </sheetView>
  </sheetViews>
  <sheetFormatPr defaultColWidth="9.140625" defaultRowHeight="15" outlineLevelRow="1"/>
  <cols>
    <col min="1" max="1" width="32.421875" style="2" customWidth="1"/>
    <col min="2" max="2" width="10.57421875" style="1" bestFit="1" customWidth="1"/>
    <col min="3" max="4" width="9.140625" style="1" customWidth="1"/>
    <col min="5" max="5" width="10.57421875" style="1" bestFit="1" customWidth="1"/>
    <col min="6" max="16384" width="9.140625" style="1" customWidth="1"/>
  </cols>
  <sheetData>
    <row r="1" spans="1:19" ht="12.75">
      <c r="A1" s="21"/>
      <c r="B1" s="482" t="s">
        <v>73</v>
      </c>
      <c r="C1" s="483"/>
      <c r="D1" s="483"/>
      <c r="E1" s="483"/>
      <c r="F1" s="483"/>
      <c r="G1" s="483"/>
      <c r="H1" s="483"/>
      <c r="I1" s="483"/>
      <c r="J1" s="483"/>
      <c r="K1" s="483"/>
      <c r="L1" s="483"/>
      <c r="M1" s="483"/>
      <c r="N1" s="483"/>
      <c r="O1" s="483"/>
      <c r="P1" s="483"/>
      <c r="Q1" s="483"/>
      <c r="R1" s="483"/>
      <c r="S1" s="484"/>
    </row>
    <row r="2" spans="1:19" ht="12.75">
      <c r="A2" s="43"/>
      <c r="B2" s="88">
        <v>1991</v>
      </c>
      <c r="C2" s="88">
        <v>1992</v>
      </c>
      <c r="D2" s="88">
        <v>1993</v>
      </c>
      <c r="E2" s="88">
        <v>1994</v>
      </c>
      <c r="F2" s="88">
        <v>1995</v>
      </c>
      <c r="G2" s="88">
        <v>1996</v>
      </c>
      <c r="H2" s="44">
        <v>1997</v>
      </c>
      <c r="I2" s="44">
        <v>1998</v>
      </c>
      <c r="J2" s="88">
        <v>1999</v>
      </c>
      <c r="K2" s="44">
        <v>2000</v>
      </c>
      <c r="L2" s="44">
        <v>2001</v>
      </c>
      <c r="M2" s="88">
        <v>2002</v>
      </c>
      <c r="N2" s="44">
        <v>2003</v>
      </c>
      <c r="O2" s="44">
        <v>2004</v>
      </c>
      <c r="P2" s="44">
        <v>2005</v>
      </c>
      <c r="Q2" s="44">
        <v>2006</v>
      </c>
      <c r="R2" s="44">
        <v>2007</v>
      </c>
      <c r="S2" s="116">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f>4162+11998+38511+38020</f>
        <v>92691</v>
      </c>
      <c r="C5" s="2">
        <f>37462+8454+11219+6602</f>
        <v>63737</v>
      </c>
      <c r="D5" s="2"/>
      <c r="E5" s="2">
        <f>E15-E13-E14</f>
        <v>48529</v>
      </c>
      <c r="F5" s="2">
        <f>F15-F13-F14</f>
        <v>50363</v>
      </c>
      <c r="G5" s="2">
        <f>G15-G13-G14</f>
        <v>51595</v>
      </c>
      <c r="H5" s="2">
        <f>H15-H13-H14</f>
        <v>61693</v>
      </c>
      <c r="I5" s="2">
        <f aca="true" t="shared" si="0" ref="I5:Q5">I15-I13-I14</f>
        <v>61693</v>
      </c>
      <c r="J5" s="2">
        <f t="shared" si="0"/>
        <v>61819</v>
      </c>
      <c r="K5" s="2">
        <f t="shared" si="0"/>
        <v>65095</v>
      </c>
      <c r="L5" s="2">
        <f t="shared" si="0"/>
        <v>69000</v>
      </c>
      <c r="M5" s="2">
        <f t="shared" si="0"/>
        <v>71760</v>
      </c>
      <c r="N5" s="2">
        <f t="shared" si="0"/>
        <v>77682</v>
      </c>
      <c r="O5" s="2">
        <f t="shared" si="0"/>
        <v>104442</v>
      </c>
      <c r="P5" s="2">
        <f t="shared" si="0"/>
        <v>108919</v>
      </c>
      <c r="Q5" s="2">
        <f t="shared" si="0"/>
        <v>119009</v>
      </c>
      <c r="R5" s="2">
        <v>67458</v>
      </c>
      <c r="S5" s="5">
        <v>72496</v>
      </c>
    </row>
    <row r="6" spans="1:19" ht="12.75">
      <c r="A6" s="47" t="s">
        <v>28</v>
      </c>
      <c r="B6" s="2"/>
      <c r="C6" s="2"/>
      <c r="D6" s="2"/>
      <c r="E6" s="2"/>
      <c r="F6" s="2"/>
      <c r="G6" s="2"/>
      <c r="H6" s="2"/>
      <c r="I6" s="2"/>
      <c r="J6" s="2"/>
      <c r="K6" s="2"/>
      <c r="L6" s="2"/>
      <c r="M6" s="2"/>
      <c r="N6" s="2"/>
      <c r="O6" s="2"/>
      <c r="P6" s="2"/>
      <c r="Q6" s="2"/>
      <c r="R6" s="2"/>
      <c r="S6" s="5"/>
    </row>
    <row r="7" spans="1:19" ht="12.75">
      <c r="A7" s="47" t="s">
        <v>27</v>
      </c>
      <c r="B7" s="2">
        <f>B18</f>
        <v>0</v>
      </c>
      <c r="C7" s="2">
        <f>C18</f>
        <v>0</v>
      </c>
      <c r="D7" s="2"/>
      <c r="E7" s="2">
        <f aca="true" t="shared" si="1" ref="E7:S7">E18</f>
        <v>0</v>
      </c>
      <c r="F7" s="2">
        <f t="shared" si="1"/>
        <v>0</v>
      </c>
      <c r="G7" s="2">
        <f t="shared" si="1"/>
        <v>0</v>
      </c>
      <c r="H7" s="2">
        <f t="shared" si="1"/>
        <v>0</v>
      </c>
      <c r="I7" s="2">
        <f t="shared" si="1"/>
        <v>0</v>
      </c>
      <c r="J7" s="2">
        <f t="shared" si="1"/>
        <v>0</v>
      </c>
      <c r="K7" s="2">
        <f t="shared" si="1"/>
        <v>0</v>
      </c>
      <c r="L7" s="2">
        <f t="shared" si="1"/>
        <v>0</v>
      </c>
      <c r="M7" s="2">
        <f t="shared" si="1"/>
        <v>0</v>
      </c>
      <c r="N7" s="2">
        <f t="shared" si="1"/>
        <v>0</v>
      </c>
      <c r="O7" s="2">
        <f t="shared" si="1"/>
        <v>0</v>
      </c>
      <c r="P7" s="2">
        <f t="shared" si="1"/>
        <v>0</v>
      </c>
      <c r="Q7" s="2">
        <f t="shared" si="1"/>
        <v>0</v>
      </c>
      <c r="R7" s="2">
        <f t="shared" si="1"/>
        <v>0</v>
      </c>
      <c r="S7" s="5">
        <f t="shared" si="1"/>
        <v>0</v>
      </c>
    </row>
    <row r="8" spans="1:19" ht="12.75">
      <c r="A8" s="47" t="s">
        <v>26</v>
      </c>
      <c r="B8" s="2">
        <f>B24</f>
        <v>0</v>
      </c>
      <c r="C8" s="2">
        <f>C24</f>
        <v>0</v>
      </c>
      <c r="D8" s="2"/>
      <c r="E8" s="2">
        <f aca="true" t="shared" si="2" ref="E8:S8">E24</f>
        <v>0</v>
      </c>
      <c r="F8" s="2">
        <f t="shared" si="2"/>
        <v>0</v>
      </c>
      <c r="G8" s="2">
        <f t="shared" si="2"/>
        <v>0</v>
      </c>
      <c r="H8" s="2">
        <f t="shared" si="2"/>
        <v>0</v>
      </c>
      <c r="I8" s="2">
        <f t="shared" si="2"/>
        <v>0</v>
      </c>
      <c r="J8" s="2">
        <f t="shared" si="2"/>
        <v>0</v>
      </c>
      <c r="K8" s="2">
        <f t="shared" si="2"/>
        <v>0</v>
      </c>
      <c r="L8" s="2">
        <f t="shared" si="2"/>
        <v>0</v>
      </c>
      <c r="M8" s="2">
        <f t="shared" si="2"/>
        <v>0</v>
      </c>
      <c r="N8" s="2">
        <f t="shared" si="2"/>
        <v>0</v>
      </c>
      <c r="O8" s="2">
        <f t="shared" si="2"/>
        <v>0</v>
      </c>
      <c r="P8" s="2">
        <f t="shared" si="2"/>
        <v>0</v>
      </c>
      <c r="Q8" s="2">
        <f t="shared" si="2"/>
        <v>0</v>
      </c>
      <c r="R8" s="2">
        <f t="shared" si="2"/>
        <v>0</v>
      </c>
      <c r="S8" s="5">
        <f t="shared" si="2"/>
        <v>0</v>
      </c>
    </row>
    <row r="9" spans="1:19" ht="12.75">
      <c r="A9" s="59" t="s">
        <v>35</v>
      </c>
      <c r="B9" s="78">
        <f>B36</f>
        <v>0</v>
      </c>
      <c r="C9" s="78">
        <f>C36</f>
        <v>0</v>
      </c>
      <c r="D9" s="78"/>
      <c r="E9" s="78">
        <f aca="true" t="shared" si="3" ref="E9:S9">E36</f>
        <v>0</v>
      </c>
      <c r="F9" s="78">
        <f t="shared" si="3"/>
        <v>0</v>
      </c>
      <c r="G9" s="13">
        <f t="shared" si="3"/>
        <v>0</v>
      </c>
      <c r="H9" s="13">
        <f t="shared" si="3"/>
        <v>0</v>
      </c>
      <c r="I9" s="13">
        <f t="shared" si="3"/>
        <v>0</v>
      </c>
      <c r="J9" s="13">
        <f t="shared" si="3"/>
        <v>0</v>
      </c>
      <c r="K9" s="13">
        <f t="shared" si="3"/>
        <v>0</v>
      </c>
      <c r="L9" s="13">
        <f t="shared" si="3"/>
        <v>0</v>
      </c>
      <c r="M9" s="13">
        <f t="shared" si="3"/>
        <v>0</v>
      </c>
      <c r="N9" s="13">
        <f t="shared" si="3"/>
        <v>0</v>
      </c>
      <c r="O9" s="13">
        <f t="shared" si="3"/>
        <v>0</v>
      </c>
      <c r="P9" s="13">
        <f t="shared" si="3"/>
        <v>0</v>
      </c>
      <c r="Q9" s="13">
        <f t="shared" si="3"/>
        <v>0</v>
      </c>
      <c r="R9" s="13">
        <f t="shared" si="3"/>
        <v>0</v>
      </c>
      <c r="S9" s="12">
        <f t="shared" si="3"/>
        <v>0</v>
      </c>
    </row>
    <row r="10" spans="1:19" ht="12.75">
      <c r="A10" s="59" t="s">
        <v>43</v>
      </c>
      <c r="B10" s="78">
        <f>B48</f>
        <v>0</v>
      </c>
      <c r="C10" s="78">
        <f>C48</f>
        <v>0</v>
      </c>
      <c r="D10" s="78"/>
      <c r="E10" s="78">
        <f aca="true" t="shared" si="4" ref="E10:S10">E48</f>
        <v>0</v>
      </c>
      <c r="F10" s="78">
        <f t="shared" si="4"/>
        <v>0</v>
      </c>
      <c r="G10" s="13">
        <f t="shared" si="4"/>
        <v>0</v>
      </c>
      <c r="H10" s="13">
        <f t="shared" si="4"/>
        <v>0</v>
      </c>
      <c r="I10" s="13">
        <f t="shared" si="4"/>
        <v>0</v>
      </c>
      <c r="J10" s="13">
        <f t="shared" si="4"/>
        <v>0</v>
      </c>
      <c r="K10" s="13">
        <f t="shared" si="4"/>
        <v>0</v>
      </c>
      <c r="L10" s="13">
        <f t="shared" si="4"/>
        <v>0</v>
      </c>
      <c r="M10" s="13">
        <f t="shared" si="4"/>
        <v>0</v>
      </c>
      <c r="N10" s="13">
        <f t="shared" si="4"/>
        <v>0</v>
      </c>
      <c r="O10" s="13">
        <f t="shared" si="4"/>
        <v>0</v>
      </c>
      <c r="P10" s="13">
        <f t="shared" si="4"/>
        <v>0</v>
      </c>
      <c r="Q10" s="13">
        <f t="shared" si="4"/>
        <v>0</v>
      </c>
      <c r="R10" s="13">
        <f t="shared" si="4"/>
        <v>4112</v>
      </c>
      <c r="S10" s="12">
        <f t="shared" si="4"/>
        <v>5066</v>
      </c>
    </row>
    <row r="11" spans="1:19" ht="12.75">
      <c r="A11" s="59" t="s">
        <v>44</v>
      </c>
      <c r="B11" s="78">
        <f>B42</f>
        <v>0</v>
      </c>
      <c r="C11" s="78">
        <f>C42</f>
        <v>0</v>
      </c>
      <c r="D11" s="78"/>
      <c r="E11" s="78">
        <f aca="true" t="shared" si="5" ref="E11:S11">E42</f>
        <v>7340</v>
      </c>
      <c r="F11" s="78">
        <f t="shared" si="5"/>
        <v>7078</v>
      </c>
      <c r="G11" s="13">
        <f t="shared" si="5"/>
        <v>8306</v>
      </c>
      <c r="H11" s="13">
        <f t="shared" si="5"/>
        <v>0</v>
      </c>
      <c r="I11" s="13">
        <f t="shared" si="5"/>
        <v>0</v>
      </c>
      <c r="J11" s="13">
        <f t="shared" si="5"/>
        <v>0</v>
      </c>
      <c r="K11" s="13">
        <f t="shared" si="5"/>
        <v>0</v>
      </c>
      <c r="L11" s="13">
        <f t="shared" si="5"/>
        <v>0</v>
      </c>
      <c r="M11" s="13">
        <f t="shared" si="5"/>
        <v>0</v>
      </c>
      <c r="N11" s="13">
        <f t="shared" si="5"/>
        <v>0</v>
      </c>
      <c r="O11" s="13">
        <f t="shared" si="5"/>
        <v>0</v>
      </c>
      <c r="P11" s="13">
        <f t="shared" si="5"/>
        <v>0</v>
      </c>
      <c r="Q11" s="13">
        <f t="shared" si="5"/>
        <v>0</v>
      </c>
      <c r="R11" s="13">
        <f t="shared" si="5"/>
        <v>0</v>
      </c>
      <c r="S11" s="12">
        <f t="shared" si="5"/>
        <v>0</v>
      </c>
    </row>
    <row r="12" spans="1:19" ht="12.75">
      <c r="A12" s="47" t="s">
        <v>25</v>
      </c>
      <c r="B12" s="2">
        <f>B30</f>
        <v>0</v>
      </c>
      <c r="C12" s="2">
        <f>C30</f>
        <v>0</v>
      </c>
      <c r="D12" s="2"/>
      <c r="E12" s="2">
        <f aca="true" t="shared" si="6" ref="E12:S12">E30</f>
        <v>0</v>
      </c>
      <c r="F12" s="2">
        <f t="shared" si="6"/>
        <v>0</v>
      </c>
      <c r="G12" s="2">
        <f t="shared" si="6"/>
        <v>0</v>
      </c>
      <c r="H12" s="2">
        <f t="shared" si="6"/>
        <v>0</v>
      </c>
      <c r="I12" s="2">
        <f t="shared" si="6"/>
        <v>0</v>
      </c>
      <c r="J12" s="2">
        <f t="shared" si="6"/>
        <v>0</v>
      </c>
      <c r="K12" s="2">
        <f t="shared" si="6"/>
        <v>0</v>
      </c>
      <c r="L12" s="2">
        <f t="shared" si="6"/>
        <v>0</v>
      </c>
      <c r="M12" s="2">
        <f t="shared" si="6"/>
        <v>0</v>
      </c>
      <c r="N12" s="2">
        <f t="shared" si="6"/>
        <v>0</v>
      </c>
      <c r="O12" s="2">
        <f t="shared" si="6"/>
        <v>0</v>
      </c>
      <c r="P12" s="2">
        <f t="shared" si="6"/>
        <v>0</v>
      </c>
      <c r="Q12" s="2">
        <f t="shared" si="6"/>
        <v>0</v>
      </c>
      <c r="R12" s="2">
        <f t="shared" si="6"/>
        <v>0</v>
      </c>
      <c r="S12" s="5">
        <f t="shared" si="6"/>
        <v>0</v>
      </c>
    </row>
    <row r="13" spans="1:19" ht="12.75">
      <c r="A13" s="46" t="s">
        <v>24</v>
      </c>
      <c r="B13" s="42"/>
      <c r="C13" s="42"/>
      <c r="D13" s="42"/>
      <c r="E13" s="42">
        <f>SUM(E6:E12)</f>
        <v>7340</v>
      </c>
      <c r="F13" s="42">
        <f>SUM(F6:F12)</f>
        <v>7078</v>
      </c>
      <c r="G13" s="42">
        <f>SUM(G6:G12)</f>
        <v>8306</v>
      </c>
      <c r="H13" s="42">
        <f>SUM(H6:H12)</f>
        <v>0</v>
      </c>
      <c r="I13" s="42">
        <f aca="true" t="shared" si="7" ref="I13:Q13">SUM(I6:I12)</f>
        <v>0</v>
      </c>
      <c r="J13" s="42">
        <f t="shared" si="7"/>
        <v>0</v>
      </c>
      <c r="K13" s="42">
        <f t="shared" si="7"/>
        <v>0</v>
      </c>
      <c r="L13" s="42">
        <f t="shared" si="7"/>
        <v>0</v>
      </c>
      <c r="M13" s="42">
        <f t="shared" si="7"/>
        <v>0</v>
      </c>
      <c r="N13" s="42">
        <f t="shared" si="7"/>
        <v>0</v>
      </c>
      <c r="O13" s="42">
        <f t="shared" si="7"/>
        <v>0</v>
      </c>
      <c r="P13" s="42">
        <f t="shared" si="7"/>
        <v>0</v>
      </c>
      <c r="Q13" s="42">
        <f t="shared" si="7"/>
        <v>0</v>
      </c>
      <c r="R13" s="42">
        <f>R15-R14-R5</f>
        <v>59132</v>
      </c>
      <c r="S13" s="28">
        <f>S15-S14-S5</f>
        <v>64700</v>
      </c>
    </row>
    <row r="14" spans="1:19" ht="12.75">
      <c r="A14" s="47" t="s">
        <v>23</v>
      </c>
      <c r="B14" s="2"/>
      <c r="C14" s="2"/>
      <c r="D14" s="2"/>
      <c r="E14" s="2"/>
      <c r="F14" s="2"/>
      <c r="G14" s="2"/>
      <c r="H14" s="2"/>
      <c r="I14" s="2"/>
      <c r="J14" s="2"/>
      <c r="K14" s="2"/>
      <c r="L14" s="2"/>
      <c r="M14" s="2"/>
      <c r="N14" s="2"/>
      <c r="O14" s="2"/>
      <c r="P14" s="2"/>
      <c r="Q14" s="2"/>
      <c r="R14" s="2">
        <f>2175-2180-136</f>
        <v>-141</v>
      </c>
      <c r="S14" s="138">
        <f>2417-2323-120</f>
        <v>-26</v>
      </c>
    </row>
    <row r="15" spans="1:19" ht="12.75">
      <c r="A15" s="48" t="s">
        <v>22</v>
      </c>
      <c r="B15" s="17">
        <f>SUM(B5,B13:B14)</f>
        <v>92691</v>
      </c>
      <c r="C15" s="17">
        <f>SUM(C5,C13:C14)</f>
        <v>63737</v>
      </c>
      <c r="D15" s="17"/>
      <c r="E15" s="17">
        <v>55869</v>
      </c>
      <c r="F15" s="17">
        <v>57441</v>
      </c>
      <c r="G15" s="17">
        <v>59901</v>
      </c>
      <c r="H15" s="17">
        <v>61693</v>
      </c>
      <c r="I15" s="17">
        <v>61693</v>
      </c>
      <c r="J15" s="17">
        <v>61819</v>
      </c>
      <c r="K15" s="17">
        <v>65095</v>
      </c>
      <c r="L15" s="17">
        <v>69000</v>
      </c>
      <c r="M15" s="17">
        <v>71760</v>
      </c>
      <c r="N15" s="17">
        <v>77682</v>
      </c>
      <c r="O15" s="17">
        <v>104442</v>
      </c>
      <c r="P15" s="17">
        <v>108919</v>
      </c>
      <c r="Q15" s="17">
        <v>119009</v>
      </c>
      <c r="R15" s="17">
        <v>126449</v>
      </c>
      <c r="S15" s="115">
        <v>137170</v>
      </c>
    </row>
    <row r="16" spans="1:19" ht="12.75">
      <c r="A16" s="5"/>
      <c r="B16" s="42"/>
      <c r="C16" s="42"/>
      <c r="D16" s="42"/>
      <c r="E16" s="42"/>
      <c r="F16" s="42"/>
      <c r="G16" s="42"/>
      <c r="H16" s="42"/>
      <c r="I16" s="42"/>
      <c r="J16" s="42"/>
      <c r="K16" s="42"/>
      <c r="L16" s="42"/>
      <c r="M16" s="42"/>
      <c r="N16" s="42"/>
      <c r="O16" s="42"/>
      <c r="P16" s="42"/>
      <c r="Q16" s="42"/>
      <c r="R16" s="42"/>
      <c r="S16" s="28"/>
    </row>
    <row r="17" spans="1:19" ht="12.75" outlineLevel="1">
      <c r="A17" s="41" t="s">
        <v>21</v>
      </c>
      <c r="B17" s="40"/>
      <c r="C17" s="40"/>
      <c r="D17" s="40"/>
      <c r="E17" s="40"/>
      <c r="F17" s="40"/>
      <c r="G17" s="40"/>
      <c r="H17" s="40"/>
      <c r="I17" s="40"/>
      <c r="J17" s="40"/>
      <c r="K17" s="40"/>
      <c r="L17" s="40"/>
      <c r="M17" s="40"/>
      <c r="N17" s="40"/>
      <c r="O17" s="40"/>
      <c r="P17" s="40"/>
      <c r="Q17" s="40"/>
      <c r="R17" s="40"/>
      <c r="S17" s="39"/>
    </row>
    <row r="18" spans="1:19" ht="12.75" outlineLevel="1">
      <c r="A18" s="47" t="s">
        <v>12</v>
      </c>
      <c r="B18" s="30"/>
      <c r="C18" s="30"/>
      <c r="D18" s="30"/>
      <c r="E18" s="30"/>
      <c r="F18" s="30"/>
      <c r="G18" s="30"/>
      <c r="H18" s="30"/>
      <c r="I18" s="30"/>
      <c r="J18" s="30"/>
      <c r="K18" s="30"/>
      <c r="L18" s="30"/>
      <c r="M18" s="30"/>
      <c r="N18" s="30"/>
      <c r="O18" s="30"/>
      <c r="P18" s="30"/>
      <c r="Q18" s="30"/>
      <c r="R18" s="30"/>
      <c r="S18" s="5"/>
    </row>
    <row r="19" spans="1:19" ht="25.5" outlineLevel="1">
      <c r="A19" s="47" t="s">
        <v>16</v>
      </c>
      <c r="B19" s="30">
        <v>49932</v>
      </c>
      <c r="C19" s="30">
        <f>-11173+66803</f>
        <v>55630</v>
      </c>
      <c r="D19" s="30"/>
      <c r="E19" s="30"/>
      <c r="F19" s="30"/>
      <c r="G19" s="30"/>
      <c r="H19" s="30"/>
      <c r="I19" s="30"/>
      <c r="J19" s="30"/>
      <c r="K19" s="30"/>
      <c r="L19" s="30"/>
      <c r="M19" s="30"/>
      <c r="N19" s="30"/>
      <c r="O19" s="30"/>
      <c r="P19" s="30"/>
      <c r="Q19" s="30"/>
      <c r="R19" s="30"/>
      <c r="S19" s="5"/>
    </row>
    <row r="20" spans="1:19" ht="25.5" outlineLevel="1">
      <c r="A20" s="46" t="s">
        <v>20</v>
      </c>
      <c r="B20" s="29">
        <f>SUM(B18:B19)</f>
        <v>49932</v>
      </c>
      <c r="C20" s="29">
        <f>SUM(C18:C19)</f>
        <v>55630</v>
      </c>
      <c r="D20" s="29"/>
      <c r="E20" s="29">
        <f aca="true" t="shared" si="8" ref="E20:S20">SUM(E18:E19)</f>
        <v>0</v>
      </c>
      <c r="F20" s="29">
        <f t="shared" si="8"/>
        <v>0</v>
      </c>
      <c r="G20" s="29">
        <f t="shared" si="8"/>
        <v>0</v>
      </c>
      <c r="H20" s="29">
        <f t="shared" si="8"/>
        <v>0</v>
      </c>
      <c r="I20" s="29">
        <f t="shared" si="8"/>
        <v>0</v>
      </c>
      <c r="J20" s="29">
        <f t="shared" si="8"/>
        <v>0</v>
      </c>
      <c r="K20" s="29">
        <f t="shared" si="8"/>
        <v>0</v>
      </c>
      <c r="L20" s="29">
        <f t="shared" si="8"/>
        <v>0</v>
      </c>
      <c r="M20" s="29">
        <f t="shared" si="8"/>
        <v>0</v>
      </c>
      <c r="N20" s="29">
        <f t="shared" si="8"/>
        <v>0</v>
      </c>
      <c r="O20" s="29">
        <f t="shared" si="8"/>
        <v>0</v>
      </c>
      <c r="P20" s="29">
        <f t="shared" si="8"/>
        <v>0</v>
      </c>
      <c r="Q20" s="29">
        <f t="shared" si="8"/>
        <v>0</v>
      </c>
      <c r="R20" s="29">
        <f t="shared" si="8"/>
        <v>0</v>
      </c>
      <c r="S20" s="28">
        <f t="shared" si="8"/>
        <v>0</v>
      </c>
    </row>
    <row r="21" spans="1:19" ht="12.75" outlineLevel="1">
      <c r="A21" s="49" t="s">
        <v>14</v>
      </c>
      <c r="B21" s="27">
        <f>B20-B65</f>
        <v>9899</v>
      </c>
      <c r="C21" s="27">
        <f aca="true" t="shared" si="9" ref="C21:S21">C20-C65</f>
        <v>9002</v>
      </c>
      <c r="D21" s="27"/>
      <c r="E21" s="27">
        <f>E20-E65</f>
        <v>0</v>
      </c>
      <c r="F21" s="27">
        <f>F20-F65</f>
        <v>0</v>
      </c>
      <c r="G21" s="27">
        <f>G20-G65</f>
        <v>0</v>
      </c>
      <c r="H21" s="27">
        <f>H20-H65</f>
        <v>0</v>
      </c>
      <c r="I21" s="27">
        <f t="shared" si="9"/>
        <v>0</v>
      </c>
      <c r="J21" s="27">
        <f t="shared" si="9"/>
        <v>0</v>
      </c>
      <c r="K21" s="27">
        <f t="shared" si="9"/>
        <v>0</v>
      </c>
      <c r="L21" s="27">
        <f t="shared" si="9"/>
        <v>0</v>
      </c>
      <c r="M21" s="27">
        <f t="shared" si="9"/>
        <v>0</v>
      </c>
      <c r="N21" s="27">
        <f t="shared" si="9"/>
        <v>0</v>
      </c>
      <c r="O21" s="27">
        <f t="shared" si="9"/>
        <v>0</v>
      </c>
      <c r="P21" s="27">
        <f t="shared" si="9"/>
        <v>0</v>
      </c>
      <c r="Q21" s="27">
        <f t="shared" si="9"/>
        <v>0</v>
      </c>
      <c r="R21" s="27">
        <f t="shared" si="9"/>
        <v>0</v>
      </c>
      <c r="S21" s="26">
        <f t="shared" si="9"/>
        <v>0</v>
      </c>
    </row>
    <row r="22" spans="1:19" ht="12.75" outlineLevel="1">
      <c r="A22" s="5"/>
      <c r="B22" s="42"/>
      <c r="C22" s="42"/>
      <c r="D22" s="42"/>
      <c r="E22" s="42"/>
      <c r="F22" s="42"/>
      <c r="G22" s="42"/>
      <c r="H22" s="42"/>
      <c r="I22" s="42"/>
      <c r="J22" s="42"/>
      <c r="K22" s="42"/>
      <c r="L22" s="42"/>
      <c r="M22" s="42"/>
      <c r="N22" s="42"/>
      <c r="O22" s="42"/>
      <c r="P22" s="42"/>
      <c r="Q22" s="42"/>
      <c r="R22" s="42"/>
      <c r="S22" s="28"/>
    </row>
    <row r="23" spans="1:19" ht="12.75" outlineLevel="1">
      <c r="A23" s="38" t="s">
        <v>19</v>
      </c>
      <c r="B23" s="37"/>
      <c r="C23" s="37"/>
      <c r="D23" s="37"/>
      <c r="E23" s="37"/>
      <c r="F23" s="37"/>
      <c r="G23" s="37"/>
      <c r="H23" s="37"/>
      <c r="I23" s="37"/>
      <c r="J23" s="37"/>
      <c r="K23" s="37"/>
      <c r="L23" s="37"/>
      <c r="M23" s="37"/>
      <c r="N23" s="37"/>
      <c r="O23" s="37"/>
      <c r="P23" s="37"/>
      <c r="Q23" s="37"/>
      <c r="R23" s="37"/>
      <c r="S23" s="36"/>
    </row>
    <row r="24" spans="1:19" ht="12.75" outlineLevel="1">
      <c r="A24" s="47" t="s">
        <v>12</v>
      </c>
      <c r="B24" s="30"/>
      <c r="C24" s="30"/>
      <c r="D24" s="30"/>
      <c r="E24" s="30"/>
      <c r="F24" s="30"/>
      <c r="G24" s="30"/>
      <c r="H24" s="30"/>
      <c r="I24" s="30"/>
      <c r="J24" s="30"/>
      <c r="K24" s="30"/>
      <c r="L24" s="30"/>
      <c r="M24" s="30"/>
      <c r="N24" s="30"/>
      <c r="O24" s="30"/>
      <c r="P24" s="30"/>
      <c r="Q24" s="30"/>
      <c r="R24" s="30"/>
      <c r="S24" s="5"/>
    </row>
    <row r="25" spans="1:19" ht="25.5" outlineLevel="1">
      <c r="A25" s="47" t="s">
        <v>16</v>
      </c>
      <c r="B25" s="30">
        <v>11124</v>
      </c>
      <c r="C25" s="30">
        <v>11173</v>
      </c>
      <c r="D25" s="30"/>
      <c r="E25" s="30"/>
      <c r="F25" s="30"/>
      <c r="G25" s="30"/>
      <c r="H25" s="30"/>
      <c r="I25" s="30"/>
      <c r="J25" s="30"/>
      <c r="K25" s="30"/>
      <c r="L25" s="30"/>
      <c r="M25" s="30"/>
      <c r="N25" s="30"/>
      <c r="O25" s="30"/>
      <c r="P25" s="30"/>
      <c r="Q25" s="30"/>
      <c r="R25" s="30"/>
      <c r="S25" s="5"/>
    </row>
    <row r="26" spans="1:19" ht="12.75" outlineLevel="1">
      <c r="A26" s="46" t="s">
        <v>18</v>
      </c>
      <c r="B26" s="29">
        <f>SUM(B24:B25)</f>
        <v>11124</v>
      </c>
      <c r="C26" s="29">
        <f>SUM(C24:C25)</f>
        <v>11173</v>
      </c>
      <c r="D26" s="29"/>
      <c r="E26" s="29">
        <f aca="true" t="shared" si="10" ref="E26:S26">SUM(E24:E25)</f>
        <v>0</v>
      </c>
      <c r="F26" s="29">
        <f t="shared" si="10"/>
        <v>0</v>
      </c>
      <c r="G26" s="29">
        <f t="shared" si="10"/>
        <v>0</v>
      </c>
      <c r="H26" s="29">
        <f t="shared" si="10"/>
        <v>0</v>
      </c>
      <c r="I26" s="29">
        <f t="shared" si="10"/>
        <v>0</v>
      </c>
      <c r="J26" s="29">
        <f t="shared" si="10"/>
        <v>0</v>
      </c>
      <c r="K26" s="29">
        <f t="shared" si="10"/>
        <v>0</v>
      </c>
      <c r="L26" s="29">
        <f t="shared" si="10"/>
        <v>0</v>
      </c>
      <c r="M26" s="29">
        <f t="shared" si="10"/>
        <v>0</v>
      </c>
      <c r="N26" s="29">
        <f t="shared" si="10"/>
        <v>0</v>
      </c>
      <c r="O26" s="29">
        <f t="shared" si="10"/>
        <v>0</v>
      </c>
      <c r="P26" s="29">
        <f t="shared" si="10"/>
        <v>0</v>
      </c>
      <c r="Q26" s="29">
        <f t="shared" si="10"/>
        <v>0</v>
      </c>
      <c r="R26" s="29">
        <f t="shared" si="10"/>
        <v>0</v>
      </c>
      <c r="S26" s="28">
        <f t="shared" si="10"/>
        <v>0</v>
      </c>
    </row>
    <row r="27" spans="1:19" ht="12.75" outlineLevel="1">
      <c r="A27" s="51" t="s">
        <v>14</v>
      </c>
      <c r="B27" s="35">
        <f>B26-46501</f>
        <v>-35377</v>
      </c>
      <c r="C27" s="35">
        <f>C26-51478</f>
        <v>-40305</v>
      </c>
      <c r="D27" s="35"/>
      <c r="E27" s="35"/>
      <c r="F27" s="35"/>
      <c r="G27" s="35"/>
      <c r="H27" s="35"/>
      <c r="I27" s="35"/>
      <c r="J27" s="35"/>
      <c r="K27" s="35"/>
      <c r="L27" s="35"/>
      <c r="M27" s="35"/>
      <c r="N27" s="35"/>
      <c r="O27" s="35"/>
      <c r="P27" s="35"/>
      <c r="Q27" s="35"/>
      <c r="R27" s="35"/>
      <c r="S27" s="34"/>
    </row>
    <row r="28" spans="1:19" ht="12.75" outlineLevel="1">
      <c r="A28" s="5"/>
      <c r="B28" s="42"/>
      <c r="C28" s="42"/>
      <c r="D28" s="42"/>
      <c r="E28" s="42"/>
      <c r="F28" s="42"/>
      <c r="G28" s="42"/>
      <c r="H28" s="42"/>
      <c r="I28" s="42"/>
      <c r="J28" s="42"/>
      <c r="K28" s="42"/>
      <c r="L28" s="42"/>
      <c r="M28" s="42"/>
      <c r="N28" s="42"/>
      <c r="O28" s="42"/>
      <c r="P28" s="42"/>
      <c r="Q28" s="42"/>
      <c r="R28" s="42"/>
      <c r="S28" s="28"/>
    </row>
    <row r="29" spans="1:19" ht="12.75" outlineLevel="1">
      <c r="A29" s="33" t="s">
        <v>17</v>
      </c>
      <c r="B29" s="32"/>
      <c r="C29" s="32"/>
      <c r="D29" s="32"/>
      <c r="E29" s="32"/>
      <c r="F29" s="32"/>
      <c r="G29" s="32"/>
      <c r="H29" s="32"/>
      <c r="I29" s="32"/>
      <c r="J29" s="32"/>
      <c r="K29" s="32"/>
      <c r="L29" s="32"/>
      <c r="M29" s="32"/>
      <c r="N29" s="32"/>
      <c r="O29" s="32"/>
      <c r="P29" s="32"/>
      <c r="Q29" s="32"/>
      <c r="R29" s="32"/>
      <c r="S29" s="31"/>
    </row>
    <row r="30" spans="1:19" ht="12.75" outlineLevel="1">
      <c r="A30" s="47" t="s">
        <v>12</v>
      </c>
      <c r="B30" s="30"/>
      <c r="C30" s="30"/>
      <c r="D30" s="30"/>
      <c r="E30" s="30"/>
      <c r="F30" s="30"/>
      <c r="G30" s="30"/>
      <c r="H30" s="30"/>
      <c r="I30" s="30"/>
      <c r="J30" s="30"/>
      <c r="K30" s="30"/>
      <c r="L30" s="30"/>
      <c r="M30" s="30"/>
      <c r="N30" s="30"/>
      <c r="O30" s="30"/>
      <c r="P30" s="30"/>
      <c r="Q30" s="30"/>
      <c r="R30" s="30"/>
      <c r="S30" s="5"/>
    </row>
    <row r="31" spans="1:19" ht="25.5" outlineLevel="1">
      <c r="A31" s="47" t="s">
        <v>16</v>
      </c>
      <c r="B31" s="30">
        <v>22047</v>
      </c>
      <c r="C31" s="30">
        <v>7467</v>
      </c>
      <c r="D31" s="30"/>
      <c r="E31" s="30"/>
      <c r="F31" s="30"/>
      <c r="G31" s="30"/>
      <c r="H31" s="30"/>
      <c r="I31" s="30"/>
      <c r="J31" s="30"/>
      <c r="K31" s="30"/>
      <c r="L31" s="30"/>
      <c r="M31" s="30"/>
      <c r="N31" s="30"/>
      <c r="O31" s="30"/>
      <c r="P31" s="30"/>
      <c r="Q31" s="30"/>
      <c r="R31" s="30"/>
      <c r="S31" s="5"/>
    </row>
    <row r="32" spans="1:19" ht="12.75" outlineLevel="1">
      <c r="A32" s="46" t="s">
        <v>15</v>
      </c>
      <c r="B32" s="29">
        <f>SUM(B30:B31)</f>
        <v>22047</v>
      </c>
      <c r="C32" s="29">
        <f>SUM(C30:C31)</f>
        <v>7467</v>
      </c>
      <c r="D32" s="29"/>
      <c r="E32" s="29">
        <f aca="true" t="shared" si="11" ref="E32:S32">SUM(E30:E31)</f>
        <v>0</v>
      </c>
      <c r="F32" s="29">
        <f t="shared" si="11"/>
        <v>0</v>
      </c>
      <c r="G32" s="29">
        <f t="shared" si="11"/>
        <v>0</v>
      </c>
      <c r="H32" s="29">
        <f t="shared" si="11"/>
        <v>0</v>
      </c>
      <c r="I32" s="29">
        <f t="shared" si="11"/>
        <v>0</v>
      </c>
      <c r="J32" s="29">
        <f t="shared" si="11"/>
        <v>0</v>
      </c>
      <c r="K32" s="29">
        <f t="shared" si="11"/>
        <v>0</v>
      </c>
      <c r="L32" s="29">
        <f t="shared" si="11"/>
        <v>0</v>
      </c>
      <c r="M32" s="29">
        <f t="shared" si="11"/>
        <v>0</v>
      </c>
      <c r="N32" s="29">
        <f t="shared" si="11"/>
        <v>0</v>
      </c>
      <c r="O32" s="29">
        <f t="shared" si="11"/>
        <v>0</v>
      </c>
      <c r="P32" s="29">
        <f t="shared" si="11"/>
        <v>0</v>
      </c>
      <c r="Q32" s="29">
        <f t="shared" si="11"/>
        <v>0</v>
      </c>
      <c r="R32" s="29">
        <f t="shared" si="11"/>
        <v>0</v>
      </c>
      <c r="S32" s="28">
        <f t="shared" si="11"/>
        <v>0</v>
      </c>
    </row>
    <row r="33" spans="1:19" ht="12.75" outlineLevel="1">
      <c r="A33" s="49" t="s">
        <v>14</v>
      </c>
      <c r="B33" s="27">
        <f>B32-21670</f>
        <v>377</v>
      </c>
      <c r="C33" s="27">
        <f>C32-7336</f>
        <v>131</v>
      </c>
      <c r="D33" s="27"/>
      <c r="E33" s="27">
        <f>E32-1798</f>
        <v>-1798</v>
      </c>
      <c r="F33" s="27">
        <f>F32-1968</f>
        <v>-1968</v>
      </c>
      <c r="G33" s="27">
        <f>G32-3137</f>
        <v>-3137</v>
      </c>
      <c r="H33" s="27">
        <f>H32-1840</f>
        <v>-1840</v>
      </c>
      <c r="I33" s="27">
        <f>I32-1937</f>
        <v>-1937</v>
      </c>
      <c r="J33" s="27">
        <f>J32-1570</f>
        <v>-1570</v>
      </c>
      <c r="K33" s="27"/>
      <c r="L33" s="27"/>
      <c r="M33" s="27"/>
      <c r="N33" s="27"/>
      <c r="O33" s="27"/>
      <c r="P33" s="27"/>
      <c r="Q33" s="27"/>
      <c r="R33" s="27"/>
      <c r="S33" s="26"/>
    </row>
    <row r="34" spans="1:19" ht="12.75">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c r="C36" s="30"/>
      <c r="D36" s="30"/>
      <c r="E36" s="30"/>
      <c r="F36" s="30"/>
      <c r="G36" s="30"/>
      <c r="H36" s="30"/>
      <c r="I36" s="30"/>
      <c r="J36" s="30"/>
      <c r="K36" s="30"/>
      <c r="L36" s="30"/>
      <c r="M36" s="30"/>
      <c r="N36" s="30"/>
      <c r="O36" s="30"/>
      <c r="P36" s="30"/>
      <c r="Q36" s="30"/>
      <c r="R36" s="30"/>
      <c r="S36" s="5"/>
    </row>
    <row r="37" spans="1:19" ht="25.5">
      <c r="A37" s="47" t="s">
        <v>16</v>
      </c>
      <c r="B37" s="30"/>
      <c r="C37" s="30"/>
      <c r="D37" s="30"/>
      <c r="E37" s="30"/>
      <c r="F37" s="30"/>
      <c r="G37" s="30"/>
      <c r="H37" s="30"/>
      <c r="I37" s="30"/>
      <c r="J37" s="30"/>
      <c r="K37" s="30"/>
      <c r="L37" s="30"/>
      <c r="M37" s="30"/>
      <c r="N37" s="30"/>
      <c r="O37" s="30"/>
      <c r="P37" s="30"/>
      <c r="Q37" s="30"/>
      <c r="R37" s="30"/>
      <c r="S37" s="5"/>
    </row>
    <row r="38" spans="1:19" ht="12.75">
      <c r="A38" s="46" t="s">
        <v>18</v>
      </c>
      <c r="B38" s="29">
        <f>SUM(B36:B37)</f>
        <v>0</v>
      </c>
      <c r="C38" s="29">
        <f>SUM(C36:C37)</f>
        <v>0</v>
      </c>
      <c r="D38" s="29"/>
      <c r="E38" s="29">
        <f aca="true" t="shared" si="12" ref="E38:S38">SUM(E36:E37)</f>
        <v>0</v>
      </c>
      <c r="F38" s="29">
        <f t="shared" si="12"/>
        <v>0</v>
      </c>
      <c r="G38" s="29">
        <f t="shared" si="12"/>
        <v>0</v>
      </c>
      <c r="H38" s="29">
        <f t="shared" si="12"/>
        <v>0</v>
      </c>
      <c r="I38" s="29">
        <f t="shared" si="12"/>
        <v>0</v>
      </c>
      <c r="J38" s="29">
        <f t="shared" si="12"/>
        <v>0</v>
      </c>
      <c r="K38" s="29">
        <f t="shared" si="12"/>
        <v>0</v>
      </c>
      <c r="L38" s="29">
        <f t="shared" si="12"/>
        <v>0</v>
      </c>
      <c r="M38" s="29">
        <f t="shared" si="12"/>
        <v>0</v>
      </c>
      <c r="N38" s="29">
        <f t="shared" si="12"/>
        <v>0</v>
      </c>
      <c r="O38" s="29">
        <f t="shared" si="12"/>
        <v>0</v>
      </c>
      <c r="P38" s="29">
        <f t="shared" si="12"/>
        <v>0</v>
      </c>
      <c r="Q38" s="29">
        <f t="shared" si="12"/>
        <v>0</v>
      </c>
      <c r="R38" s="29">
        <f t="shared" si="12"/>
        <v>0</v>
      </c>
      <c r="S38" s="28">
        <f t="shared" si="12"/>
        <v>0</v>
      </c>
    </row>
    <row r="39" spans="1:19" ht="12.75">
      <c r="A39" s="51" t="s">
        <v>14</v>
      </c>
      <c r="B39" s="35">
        <f>B38-B66</f>
        <v>0</v>
      </c>
      <c r="C39" s="35">
        <f>C38-C66</f>
        <v>0</v>
      </c>
      <c r="D39" s="35"/>
      <c r="E39" s="35">
        <f aca="true" t="shared" si="13" ref="E39:S39">E38-E66</f>
        <v>0</v>
      </c>
      <c r="F39" s="35">
        <f t="shared" si="13"/>
        <v>0</v>
      </c>
      <c r="G39" s="35">
        <f t="shared" si="13"/>
        <v>0</v>
      </c>
      <c r="H39" s="35">
        <f t="shared" si="13"/>
        <v>0</v>
      </c>
      <c r="I39" s="35">
        <f t="shared" si="13"/>
        <v>0</v>
      </c>
      <c r="J39" s="35">
        <f t="shared" si="13"/>
        <v>0</v>
      </c>
      <c r="K39" s="35">
        <f t="shared" si="13"/>
        <v>0</v>
      </c>
      <c r="L39" s="35">
        <f t="shared" si="13"/>
        <v>0</v>
      </c>
      <c r="M39" s="35">
        <f t="shared" si="13"/>
        <v>0</v>
      </c>
      <c r="N39" s="35">
        <f t="shared" si="13"/>
        <v>0</v>
      </c>
      <c r="O39" s="35">
        <f t="shared" si="13"/>
        <v>0</v>
      </c>
      <c r="P39" s="35">
        <f t="shared" si="13"/>
        <v>0</v>
      </c>
      <c r="Q39" s="35">
        <f t="shared" si="13"/>
        <v>0</v>
      </c>
      <c r="R39" s="35">
        <f t="shared" si="13"/>
        <v>0</v>
      </c>
      <c r="S39" s="34">
        <f t="shared" si="13"/>
        <v>0</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64"/>
      <c r="E42" s="64">
        <f>1000+6340</f>
        <v>7340</v>
      </c>
      <c r="F42" s="64">
        <f>7078</f>
        <v>7078</v>
      </c>
      <c r="G42" s="64">
        <v>8306</v>
      </c>
      <c r="H42" s="30"/>
      <c r="I42" s="30"/>
      <c r="J42" s="30"/>
      <c r="K42" s="30"/>
      <c r="L42" s="30"/>
      <c r="M42" s="30"/>
      <c r="N42" s="30"/>
      <c r="O42" s="30"/>
      <c r="P42" s="30"/>
      <c r="Q42" s="30"/>
      <c r="R42" s="30"/>
      <c r="S42" s="5"/>
    </row>
    <row r="43" spans="1:19" ht="25.5">
      <c r="A43" s="47" t="s">
        <v>16</v>
      </c>
      <c r="B43" s="30">
        <f>1477+4965</f>
        <v>6442</v>
      </c>
      <c r="C43" s="30">
        <f>1379+6407</f>
        <v>7786</v>
      </c>
      <c r="D43" s="64"/>
      <c r="E43" s="64">
        <f>4092+967</f>
        <v>5059</v>
      </c>
      <c r="F43" s="64">
        <f>1078+4130</f>
        <v>5208</v>
      </c>
      <c r="G43" s="64">
        <f>1252+5025</f>
        <v>6277</v>
      </c>
      <c r="H43" s="64">
        <f>5953+1238</f>
        <v>7191</v>
      </c>
      <c r="I43" s="64">
        <f>724+6305</f>
        <v>7029</v>
      </c>
      <c r="J43" s="64">
        <f>885+7141</f>
        <v>8026</v>
      </c>
      <c r="K43" s="64">
        <f>884+7012</f>
        <v>7896</v>
      </c>
      <c r="L43" s="64">
        <v>7463</v>
      </c>
      <c r="M43" s="64">
        <v>8900</v>
      </c>
      <c r="N43" s="64">
        <v>7826</v>
      </c>
      <c r="O43" s="64">
        <v>8487</v>
      </c>
      <c r="P43" s="90">
        <f>396+8575+1222+761</f>
        <v>10954</v>
      </c>
      <c r="Q43" s="30">
        <f>13063+2386+1456</f>
        <v>16905</v>
      </c>
      <c r="R43" s="30">
        <f>22184-737</f>
        <v>21447</v>
      </c>
      <c r="S43" s="5">
        <f>20301-1034</f>
        <v>19267</v>
      </c>
    </row>
    <row r="44" spans="1:19" ht="12.75">
      <c r="A44" s="46" t="s">
        <v>18</v>
      </c>
      <c r="B44" s="29">
        <f>SUM(B42:B43)</f>
        <v>6442</v>
      </c>
      <c r="C44" s="29">
        <f>SUM(C42:C43)</f>
        <v>7786</v>
      </c>
      <c r="D44" s="29"/>
      <c r="E44" s="29">
        <f aca="true" t="shared" si="14" ref="E44:S44">SUM(E42:E43)</f>
        <v>12399</v>
      </c>
      <c r="F44" s="29">
        <f t="shared" si="14"/>
        <v>12286</v>
      </c>
      <c r="G44" s="29">
        <f t="shared" si="14"/>
        <v>14583</v>
      </c>
      <c r="H44" s="29">
        <f t="shared" si="14"/>
        <v>7191</v>
      </c>
      <c r="I44" s="29">
        <f t="shared" si="14"/>
        <v>7029</v>
      </c>
      <c r="J44" s="29">
        <f t="shared" si="14"/>
        <v>8026</v>
      </c>
      <c r="K44" s="29">
        <f t="shared" si="14"/>
        <v>7896</v>
      </c>
      <c r="L44" s="29">
        <f t="shared" si="14"/>
        <v>7463</v>
      </c>
      <c r="M44" s="29">
        <f t="shared" si="14"/>
        <v>8900</v>
      </c>
      <c r="N44" s="29">
        <f t="shared" si="14"/>
        <v>7826</v>
      </c>
      <c r="O44" s="29">
        <f t="shared" si="14"/>
        <v>8487</v>
      </c>
      <c r="P44" s="29">
        <f t="shared" si="14"/>
        <v>10954</v>
      </c>
      <c r="Q44" s="29">
        <f t="shared" si="14"/>
        <v>16905</v>
      </c>
      <c r="R44" s="29">
        <f t="shared" si="14"/>
        <v>21447</v>
      </c>
      <c r="S44" s="28">
        <f t="shared" si="14"/>
        <v>19267</v>
      </c>
    </row>
    <row r="45" spans="1:20" ht="12.75">
      <c r="A45" s="51" t="s">
        <v>14</v>
      </c>
      <c r="B45" s="35">
        <f>B44-B67</f>
        <v>-5317</v>
      </c>
      <c r="C45" s="35">
        <f>C44-C67</f>
        <v>-5863</v>
      </c>
      <c r="D45" s="35"/>
      <c r="E45" s="35">
        <f aca="true" t="shared" si="15" ref="E45:S45">E44-E67</f>
        <v>2983</v>
      </c>
      <c r="F45" s="35">
        <f t="shared" si="15"/>
        <v>1318</v>
      </c>
      <c r="G45" s="35">
        <f t="shared" si="15"/>
        <v>2837</v>
      </c>
      <c r="H45" s="35">
        <f t="shared" si="15"/>
        <v>-7336</v>
      </c>
      <c r="I45" s="35">
        <f t="shared" si="15"/>
        <v>-8512</v>
      </c>
      <c r="J45" s="35">
        <f t="shared" si="15"/>
        <v>-6772</v>
      </c>
      <c r="K45" s="35">
        <f t="shared" si="15"/>
        <v>-8643</v>
      </c>
      <c r="L45" s="35">
        <f t="shared" si="15"/>
        <v>-10935</v>
      </c>
      <c r="M45" s="35">
        <f t="shared" si="15"/>
        <v>-13354</v>
      </c>
      <c r="N45" s="35">
        <f t="shared" si="15"/>
        <v>-12410</v>
      </c>
      <c r="O45" s="35">
        <f t="shared" si="15"/>
        <v>-10978</v>
      </c>
      <c r="P45" s="35">
        <f t="shared" si="15"/>
        <v>-16603</v>
      </c>
      <c r="Q45" s="35">
        <f t="shared" si="15"/>
        <v>-14277</v>
      </c>
      <c r="R45" s="35">
        <f t="shared" si="15"/>
        <v>-18968</v>
      </c>
      <c r="S45" s="34">
        <f t="shared" si="15"/>
        <v>-22966</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c r="D48" s="2"/>
      <c r="E48" s="2"/>
      <c r="F48" s="2"/>
      <c r="G48" s="2"/>
      <c r="H48" s="2"/>
      <c r="I48" s="2"/>
      <c r="J48" s="2"/>
      <c r="K48" s="2"/>
      <c r="L48" s="2"/>
      <c r="M48" s="2"/>
      <c r="N48" s="2"/>
      <c r="O48" s="2"/>
      <c r="P48" s="2"/>
      <c r="Q48" s="2"/>
      <c r="R48" s="2">
        <v>4112</v>
      </c>
      <c r="S48" s="5">
        <v>5066</v>
      </c>
    </row>
    <row r="49" spans="1:19" ht="25.5">
      <c r="A49" s="47" t="s">
        <v>16</v>
      </c>
      <c r="B49" s="2">
        <v>4</v>
      </c>
      <c r="C49" s="2">
        <v>43</v>
      </c>
      <c r="D49" s="2"/>
      <c r="E49" s="2"/>
      <c r="F49" s="2"/>
      <c r="G49" s="2"/>
      <c r="H49" s="2"/>
      <c r="I49" s="2"/>
      <c r="J49" s="2"/>
      <c r="K49" s="2"/>
      <c r="L49" s="89"/>
      <c r="M49" s="89"/>
      <c r="N49" s="2"/>
      <c r="O49" s="2"/>
      <c r="P49" s="2"/>
      <c r="Q49" s="2"/>
      <c r="R49" s="2">
        <v>737</v>
      </c>
      <c r="S49" s="5">
        <f>304+730</f>
        <v>1034</v>
      </c>
    </row>
    <row r="50" spans="1:19" ht="12.75">
      <c r="A50" s="46" t="s">
        <v>18</v>
      </c>
      <c r="B50" s="29">
        <f>SUM(B48:B49)</f>
        <v>4</v>
      </c>
      <c r="C50" s="29">
        <f>SUM(C48:C49)</f>
        <v>43</v>
      </c>
      <c r="D50" s="29"/>
      <c r="E50" s="29">
        <f aca="true" t="shared" si="16" ref="E50:S50">SUM(E48:E49)</f>
        <v>0</v>
      </c>
      <c r="F50" s="29">
        <f t="shared" si="16"/>
        <v>0</v>
      </c>
      <c r="G50" s="29">
        <f t="shared" si="16"/>
        <v>0</v>
      </c>
      <c r="H50" s="29">
        <f t="shared" si="16"/>
        <v>0</v>
      </c>
      <c r="I50" s="29">
        <f t="shared" si="16"/>
        <v>0</v>
      </c>
      <c r="J50" s="29">
        <f t="shared" si="16"/>
        <v>0</v>
      </c>
      <c r="K50" s="29">
        <f t="shared" si="16"/>
        <v>0</v>
      </c>
      <c r="L50" s="29">
        <f t="shared" si="16"/>
        <v>0</v>
      </c>
      <c r="M50" s="29">
        <f t="shared" si="16"/>
        <v>0</v>
      </c>
      <c r="N50" s="29">
        <f t="shared" si="16"/>
        <v>0</v>
      </c>
      <c r="O50" s="29">
        <f t="shared" si="16"/>
        <v>0</v>
      </c>
      <c r="P50" s="29">
        <f t="shared" si="16"/>
        <v>0</v>
      </c>
      <c r="Q50" s="29">
        <f t="shared" si="16"/>
        <v>0</v>
      </c>
      <c r="R50" s="29">
        <f t="shared" si="16"/>
        <v>4849</v>
      </c>
      <c r="S50" s="28">
        <f t="shared" si="16"/>
        <v>6100</v>
      </c>
    </row>
    <row r="51" spans="1:19" ht="12.75">
      <c r="A51" s="51" t="s">
        <v>14</v>
      </c>
      <c r="B51" s="35">
        <f>B50-B68</f>
        <v>-1050</v>
      </c>
      <c r="C51" s="35">
        <f>C50-C68</f>
        <v>-1287</v>
      </c>
      <c r="D51" s="35"/>
      <c r="E51" s="35">
        <f aca="true" t="shared" si="17" ref="E51:Q51">E50-E68</f>
        <v>-1835</v>
      </c>
      <c r="F51" s="35">
        <f t="shared" si="17"/>
        <v>-2321</v>
      </c>
      <c r="G51" s="35">
        <f t="shared" si="17"/>
        <v>-2112</v>
      </c>
      <c r="H51" s="35">
        <f t="shared" si="17"/>
        <v>-2109</v>
      </c>
      <c r="I51" s="35">
        <f t="shared" si="17"/>
        <v>-3577</v>
      </c>
      <c r="J51" s="35">
        <f t="shared" si="17"/>
        <v>-4165</v>
      </c>
      <c r="K51" s="35">
        <f t="shared" si="17"/>
        <v>-3542</v>
      </c>
      <c r="L51" s="35">
        <f t="shared" si="17"/>
        <v>-4571</v>
      </c>
      <c r="M51" s="35">
        <f t="shared" si="17"/>
        <v>-4353</v>
      </c>
      <c r="N51" s="35">
        <f t="shared" si="17"/>
        <v>-3806</v>
      </c>
      <c r="O51" s="35">
        <f t="shared" si="17"/>
        <v>-3708</v>
      </c>
      <c r="P51" s="35">
        <f t="shared" si="17"/>
        <v>-5014</v>
      </c>
      <c r="Q51" s="35">
        <f t="shared" si="17"/>
        <v>-6270</v>
      </c>
      <c r="R51" s="35">
        <f>R50-R68</f>
        <v>-2535</v>
      </c>
      <c r="S51" s="34">
        <f>S50-S68</f>
        <v>-1960</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18" ref="B54:C57">SUM(B18,B24,B30,B36,B42,B48)</f>
        <v>0</v>
      </c>
      <c r="C54" s="66">
        <f t="shared" si="18"/>
        <v>0</v>
      </c>
      <c r="D54" s="66"/>
      <c r="E54" s="66">
        <f aca="true" t="shared" si="19" ref="E54:S54">SUM(E18,E24,E30,E36,E42,E48)</f>
        <v>7340</v>
      </c>
      <c r="F54" s="66">
        <f t="shared" si="19"/>
        <v>7078</v>
      </c>
      <c r="G54" s="66">
        <f t="shared" si="19"/>
        <v>8306</v>
      </c>
      <c r="H54" s="66">
        <f t="shared" si="19"/>
        <v>0</v>
      </c>
      <c r="I54" s="66">
        <f t="shared" si="19"/>
        <v>0</v>
      </c>
      <c r="J54" s="66">
        <f t="shared" si="19"/>
        <v>0</v>
      </c>
      <c r="K54" s="66">
        <f t="shared" si="19"/>
        <v>0</v>
      </c>
      <c r="L54" s="66">
        <f t="shared" si="19"/>
        <v>0</v>
      </c>
      <c r="M54" s="66">
        <f t="shared" si="19"/>
        <v>0</v>
      </c>
      <c r="N54" s="66">
        <f t="shared" si="19"/>
        <v>0</v>
      </c>
      <c r="O54" s="66">
        <f t="shared" si="19"/>
        <v>0</v>
      </c>
      <c r="P54" s="66">
        <f t="shared" si="19"/>
        <v>0</v>
      </c>
      <c r="Q54" s="66">
        <f t="shared" si="19"/>
        <v>0</v>
      </c>
      <c r="R54" s="66">
        <f t="shared" si="19"/>
        <v>4112</v>
      </c>
      <c r="S54" s="67">
        <f t="shared" si="19"/>
        <v>5066</v>
      </c>
    </row>
    <row r="55" spans="1:19" ht="12.75">
      <c r="A55" s="53" t="s">
        <v>11</v>
      </c>
      <c r="B55" s="22">
        <f t="shared" si="18"/>
        <v>89549</v>
      </c>
      <c r="C55" s="22">
        <f t="shared" si="18"/>
        <v>82099</v>
      </c>
      <c r="D55" s="22"/>
      <c r="E55" s="22">
        <f aca="true" t="shared" si="20" ref="E55:S55">SUM(E19,E25,E31,E37,E43,E49)</f>
        <v>5059</v>
      </c>
      <c r="F55" s="22">
        <f t="shared" si="20"/>
        <v>5208</v>
      </c>
      <c r="G55" s="22">
        <f t="shared" si="20"/>
        <v>6277</v>
      </c>
      <c r="H55" s="22">
        <f t="shared" si="20"/>
        <v>7191</v>
      </c>
      <c r="I55" s="22">
        <f t="shared" si="20"/>
        <v>7029</v>
      </c>
      <c r="J55" s="22">
        <f t="shared" si="20"/>
        <v>8026</v>
      </c>
      <c r="K55" s="22">
        <f t="shared" si="20"/>
        <v>7896</v>
      </c>
      <c r="L55" s="22">
        <f t="shared" si="20"/>
        <v>7463</v>
      </c>
      <c r="M55" s="22">
        <f t="shared" si="20"/>
        <v>8900</v>
      </c>
      <c r="N55" s="22">
        <f t="shared" si="20"/>
        <v>7826</v>
      </c>
      <c r="O55" s="22">
        <f t="shared" si="20"/>
        <v>8487</v>
      </c>
      <c r="P55" s="22">
        <f t="shared" si="20"/>
        <v>10954</v>
      </c>
      <c r="Q55" s="22">
        <f t="shared" si="20"/>
        <v>16905</v>
      </c>
      <c r="R55" s="22">
        <f t="shared" si="20"/>
        <v>22184</v>
      </c>
      <c r="S55" s="21">
        <f t="shared" si="20"/>
        <v>20301</v>
      </c>
    </row>
    <row r="56" spans="1:19" ht="25.5">
      <c r="A56" s="54" t="s">
        <v>10</v>
      </c>
      <c r="B56" s="20">
        <f t="shared" si="18"/>
        <v>89549</v>
      </c>
      <c r="C56" s="20">
        <f t="shared" si="18"/>
        <v>82099</v>
      </c>
      <c r="D56" s="20"/>
      <c r="E56" s="20">
        <f aca="true" t="shared" si="21" ref="E56:S56">SUM(E20,E26,E32,E38,E44,E50)</f>
        <v>12399</v>
      </c>
      <c r="F56" s="20">
        <f t="shared" si="21"/>
        <v>12286</v>
      </c>
      <c r="G56" s="20">
        <f t="shared" si="21"/>
        <v>14583</v>
      </c>
      <c r="H56" s="20">
        <f t="shared" si="21"/>
        <v>7191</v>
      </c>
      <c r="I56" s="20">
        <f t="shared" si="21"/>
        <v>7029</v>
      </c>
      <c r="J56" s="20">
        <f t="shared" si="21"/>
        <v>8026</v>
      </c>
      <c r="K56" s="20">
        <f t="shared" si="21"/>
        <v>7896</v>
      </c>
      <c r="L56" s="20">
        <f t="shared" si="21"/>
        <v>7463</v>
      </c>
      <c r="M56" s="20">
        <f t="shared" si="21"/>
        <v>8900</v>
      </c>
      <c r="N56" s="20">
        <f t="shared" si="21"/>
        <v>7826</v>
      </c>
      <c r="O56" s="20">
        <f t="shared" si="21"/>
        <v>8487</v>
      </c>
      <c r="P56" s="20">
        <f t="shared" si="21"/>
        <v>10954</v>
      </c>
      <c r="Q56" s="20">
        <f t="shared" si="21"/>
        <v>16905</v>
      </c>
      <c r="R56" s="20">
        <f t="shared" si="21"/>
        <v>26296</v>
      </c>
      <c r="S56" s="19">
        <f t="shared" si="21"/>
        <v>25367</v>
      </c>
    </row>
    <row r="57" spans="1:19" ht="12.75">
      <c r="A57" s="55" t="s">
        <v>9</v>
      </c>
      <c r="B57" s="71">
        <f t="shared" si="18"/>
        <v>-31468</v>
      </c>
      <c r="C57" s="71">
        <f t="shared" si="18"/>
        <v>-38322</v>
      </c>
      <c r="D57" s="71"/>
      <c r="E57" s="71">
        <f aca="true" t="shared" si="22" ref="E57:S57">SUM(E21,E27,E33,E39,E45,E51)</f>
        <v>-650</v>
      </c>
      <c r="F57" s="71">
        <f t="shared" si="22"/>
        <v>-2971</v>
      </c>
      <c r="G57" s="71">
        <f t="shared" si="22"/>
        <v>-2412</v>
      </c>
      <c r="H57" s="71">
        <f t="shared" si="22"/>
        <v>-11285</v>
      </c>
      <c r="I57" s="71">
        <f t="shared" si="22"/>
        <v>-14026</v>
      </c>
      <c r="J57" s="71">
        <f t="shared" si="22"/>
        <v>-12507</v>
      </c>
      <c r="K57" s="71">
        <f t="shared" si="22"/>
        <v>-12185</v>
      </c>
      <c r="L57" s="71">
        <f t="shared" si="22"/>
        <v>-15506</v>
      </c>
      <c r="M57" s="71">
        <f t="shared" si="22"/>
        <v>-17707</v>
      </c>
      <c r="N57" s="71">
        <f t="shared" si="22"/>
        <v>-16216</v>
      </c>
      <c r="O57" s="71">
        <f t="shared" si="22"/>
        <v>-14686</v>
      </c>
      <c r="P57" s="71">
        <f t="shared" si="22"/>
        <v>-21617</v>
      </c>
      <c r="Q57" s="71">
        <f t="shared" si="22"/>
        <v>-20547</v>
      </c>
      <c r="R57" s="71">
        <f t="shared" si="22"/>
        <v>-21503</v>
      </c>
      <c r="S57" s="18">
        <f t="shared" si="22"/>
        <v>-24926</v>
      </c>
    </row>
    <row r="58" spans="1:19" ht="12.75">
      <c r="A58" s="56" t="s">
        <v>8</v>
      </c>
      <c r="B58" s="17">
        <f>B59-B55-B15</f>
        <v>92105</v>
      </c>
      <c r="C58" s="17">
        <f>C59-C55-C15</f>
        <v>428774</v>
      </c>
      <c r="D58" s="17"/>
      <c r="E58" s="17">
        <f aca="true" t="shared" si="23" ref="E58:S58">E59-E55-E15</f>
        <v>26057</v>
      </c>
      <c r="F58" s="17">
        <f t="shared" si="23"/>
        <v>62026</v>
      </c>
      <c r="G58" s="17">
        <f t="shared" si="23"/>
        <v>54722</v>
      </c>
      <c r="H58" s="17">
        <f t="shared" si="23"/>
        <v>48693</v>
      </c>
      <c r="I58" s="17">
        <f t="shared" si="23"/>
        <v>45686</v>
      </c>
      <c r="J58" s="17">
        <f t="shared" si="23"/>
        <v>54960</v>
      </c>
      <c r="K58" s="17">
        <f t="shared" si="23"/>
        <v>42214</v>
      </c>
      <c r="L58" s="17">
        <f t="shared" si="23"/>
        <v>48217</v>
      </c>
      <c r="M58" s="17">
        <f t="shared" si="23"/>
        <v>46921</v>
      </c>
      <c r="N58" s="17">
        <f t="shared" si="23"/>
        <v>55602</v>
      </c>
      <c r="O58" s="17">
        <f t="shared" si="23"/>
        <v>81996</v>
      </c>
      <c r="P58" s="17">
        <f t="shared" si="23"/>
        <v>1132650</v>
      </c>
      <c r="Q58" s="17">
        <f t="shared" si="23"/>
        <v>327428</v>
      </c>
      <c r="R58" s="17">
        <f t="shared" si="23"/>
        <v>371254</v>
      </c>
      <c r="S58" s="16">
        <f t="shared" si="23"/>
        <v>426078</v>
      </c>
    </row>
    <row r="59" spans="1:19" ht="12.75">
      <c r="A59" s="57" t="s">
        <v>7</v>
      </c>
      <c r="B59" s="438">
        <f>173638+75578+25129</f>
        <v>274345</v>
      </c>
      <c r="C59" s="438">
        <f>224784+349826</f>
        <v>574610</v>
      </c>
      <c r="D59" s="7"/>
      <c r="E59" s="7">
        <f>55869+31116</f>
        <v>86985</v>
      </c>
      <c r="F59" s="7">
        <f>57441+67234</f>
        <v>124675</v>
      </c>
      <c r="G59" s="7">
        <f>60999+59901</f>
        <v>120900</v>
      </c>
      <c r="H59" s="7">
        <f>61693+55884</f>
        <v>117577</v>
      </c>
      <c r="I59" s="7">
        <f>61693+52715</f>
        <v>114408</v>
      </c>
      <c r="J59" s="7">
        <f>61819+62986</f>
        <v>124805</v>
      </c>
      <c r="K59" s="7">
        <v>115205</v>
      </c>
      <c r="L59" s="7">
        <v>124680</v>
      </c>
      <c r="M59" s="7">
        <v>127581</v>
      </c>
      <c r="N59" s="7">
        <v>141110</v>
      </c>
      <c r="O59" s="7">
        <v>194925</v>
      </c>
      <c r="P59" s="7">
        <v>1252523</v>
      </c>
      <c r="Q59" s="7">
        <v>463342</v>
      </c>
      <c r="R59" s="7">
        <v>519887</v>
      </c>
      <c r="S59" s="6">
        <v>583549</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527+1234+2892</f>
        <v>4653</v>
      </c>
      <c r="C62" s="2">
        <f>12444+2512+568</f>
        <v>15524</v>
      </c>
      <c r="D62" s="2"/>
      <c r="E62" s="2">
        <f>528+13302</f>
        <v>13830</v>
      </c>
      <c r="F62" s="2">
        <f>15362+439</f>
        <v>15801</v>
      </c>
      <c r="G62" s="2">
        <f>15898+540</f>
        <v>16438</v>
      </c>
      <c r="H62" s="2">
        <f>15529+576</f>
        <v>16105</v>
      </c>
      <c r="I62" s="2">
        <f>18307+551</f>
        <v>18858</v>
      </c>
      <c r="J62" s="2">
        <f>443+16684+5008-1896</f>
        <v>20239</v>
      </c>
      <c r="K62" s="2">
        <f>16241+3199+3142+786</f>
        <v>23368</v>
      </c>
      <c r="L62" s="2">
        <f>2295+16089+912+650+159+564</f>
        <v>20669</v>
      </c>
      <c r="M62" s="2">
        <f>2743+923+16527</f>
        <v>20193</v>
      </c>
      <c r="N62" s="2">
        <f>785+1286+17847+1309+470+759</f>
        <v>22456</v>
      </c>
      <c r="O62" s="2">
        <f>912+1385+17059+617+471+1304</f>
        <v>21748</v>
      </c>
      <c r="P62" s="2">
        <f>20989+833+1350+372+622</f>
        <v>24166</v>
      </c>
      <c r="Q62" s="2">
        <f>27134+1094+1356</f>
        <v>29584</v>
      </c>
      <c r="R62" s="2">
        <f>6273+2329+27346</f>
        <v>35948</v>
      </c>
      <c r="S62" s="5">
        <f>6333+3695+30567+3450</f>
        <v>44045</v>
      </c>
    </row>
    <row r="63" spans="1:19" ht="12.75">
      <c r="A63" s="58" t="s">
        <v>37</v>
      </c>
      <c r="B63" s="15">
        <f>2847+80868+2864</f>
        <v>86579</v>
      </c>
      <c r="C63" s="15">
        <f>47826+13795+3687+2332</f>
        <v>67640</v>
      </c>
      <c r="D63" s="15"/>
      <c r="E63" s="15">
        <v>49770</v>
      </c>
      <c r="F63" s="15">
        <f>50597</f>
        <v>50597</v>
      </c>
      <c r="G63" s="15">
        <v>50193</v>
      </c>
      <c r="H63" s="15">
        <v>50547</v>
      </c>
      <c r="I63" s="15">
        <f>47720</f>
        <v>47720</v>
      </c>
      <c r="J63" s="15">
        <v>48218</v>
      </c>
      <c r="K63" s="15">
        <f>49838+1139</f>
        <v>50977</v>
      </c>
      <c r="L63" s="15">
        <v>59463</v>
      </c>
      <c r="M63" s="15">
        <v>66726</v>
      </c>
      <c r="N63" s="15">
        <v>77989</v>
      </c>
      <c r="O63" s="15">
        <v>99842</v>
      </c>
      <c r="P63" s="15">
        <v>110152</v>
      </c>
      <c r="Q63" s="15">
        <v>92125</v>
      </c>
      <c r="R63" s="15">
        <v>101655</v>
      </c>
      <c r="S63" s="14">
        <v>148750</v>
      </c>
    </row>
    <row r="64" spans="1:19" ht="25.5" outlineLevel="1">
      <c r="A64" s="118" t="s">
        <v>52</v>
      </c>
      <c r="B64" s="119">
        <f>21670+46501</f>
        <v>68171</v>
      </c>
      <c r="C64" s="119">
        <f>7336+51478</f>
        <v>58814</v>
      </c>
      <c r="D64" s="119"/>
      <c r="E64" s="119">
        <f>1798</f>
        <v>1798</v>
      </c>
      <c r="F64" s="119">
        <v>1968</v>
      </c>
      <c r="G64" s="119">
        <v>3137</v>
      </c>
      <c r="H64" s="119">
        <v>1840</v>
      </c>
      <c r="I64" s="119">
        <v>1937</v>
      </c>
      <c r="J64" s="119">
        <v>1570</v>
      </c>
      <c r="K64" s="119"/>
      <c r="L64" s="119"/>
      <c r="M64" s="119"/>
      <c r="N64" s="119"/>
      <c r="O64" s="119"/>
      <c r="P64" s="119"/>
      <c r="Q64" s="119"/>
      <c r="R64" s="119"/>
      <c r="S64" s="122"/>
    </row>
    <row r="65" spans="1:19" ht="12.75" customHeight="1" outlineLevel="1">
      <c r="A65" s="60" t="s">
        <v>5</v>
      </c>
      <c r="B65" s="11">
        <v>40033</v>
      </c>
      <c r="C65" s="11">
        <f>-51478+98106</f>
        <v>46628</v>
      </c>
      <c r="D65" s="11"/>
      <c r="E65" s="11"/>
      <c r="F65" s="11"/>
      <c r="G65" s="11"/>
      <c r="H65" s="11"/>
      <c r="I65" s="11"/>
      <c r="J65" s="11"/>
      <c r="K65" s="11"/>
      <c r="L65" s="11"/>
      <c r="M65" s="11"/>
      <c r="N65" s="11"/>
      <c r="O65" s="11"/>
      <c r="P65" s="11"/>
      <c r="Q65" s="11"/>
      <c r="R65" s="11"/>
      <c r="S65" s="10"/>
    </row>
    <row r="66" spans="1:19" ht="12.75">
      <c r="A66" s="118" t="s">
        <v>42</v>
      </c>
      <c r="B66" s="119"/>
      <c r="C66" s="119"/>
      <c r="D66" s="119"/>
      <c r="E66" s="119"/>
      <c r="F66" s="119"/>
      <c r="G66" s="119"/>
      <c r="H66" s="119"/>
      <c r="I66" s="119"/>
      <c r="J66" s="119"/>
      <c r="K66" s="119"/>
      <c r="L66" s="119"/>
      <c r="M66" s="119"/>
      <c r="N66" s="119"/>
      <c r="O66" s="119"/>
      <c r="P66" s="119"/>
      <c r="Q66" s="119"/>
      <c r="R66" s="119"/>
      <c r="S66" s="122"/>
    </row>
    <row r="67" spans="1:19" ht="13.5" customHeight="1">
      <c r="A67" s="117" t="s">
        <v>50</v>
      </c>
      <c r="B67" s="120">
        <f>4205+7554</f>
        <v>11759</v>
      </c>
      <c r="C67" s="120">
        <f>4728+8921</f>
        <v>13649</v>
      </c>
      <c r="D67" s="120"/>
      <c r="E67" s="120">
        <f>10275-1835+976</f>
        <v>9416</v>
      </c>
      <c r="F67" s="120">
        <f>916+12373-2321</f>
        <v>10968</v>
      </c>
      <c r="G67" s="120">
        <f>13045+813-2112</f>
        <v>11746</v>
      </c>
      <c r="H67" s="120">
        <f>1119+15517-2109</f>
        <v>14527</v>
      </c>
      <c r="I67" s="120">
        <f>18116+1002-3577</f>
        <v>15541</v>
      </c>
      <c r="J67" s="120">
        <f>17656-2269+981-1570</f>
        <v>14798</v>
      </c>
      <c r="K67" s="120">
        <f>17875-2218+882</f>
        <v>16539</v>
      </c>
      <c r="L67" s="120">
        <f>20028-1670-537+577</f>
        <v>18398</v>
      </c>
      <c r="M67" s="120">
        <f>1076+21178</f>
        <v>22254</v>
      </c>
      <c r="N67" s="120">
        <f>19717+519</f>
        <v>20236</v>
      </c>
      <c r="O67" s="120">
        <f>459+19006</f>
        <v>19465</v>
      </c>
      <c r="P67" s="120">
        <f>1692+18371-3701+2049+2128+6644+374</f>
        <v>27557</v>
      </c>
      <c r="Q67" s="120">
        <f>2728+2972+28295-4844+2003+28</f>
        <v>31182</v>
      </c>
      <c r="R67" s="120">
        <f>47799-7384</f>
        <v>40415</v>
      </c>
      <c r="S67" s="123">
        <f>50293-2310-5750</f>
        <v>42233</v>
      </c>
    </row>
    <row r="68" spans="1:19" ht="12.75">
      <c r="A68" s="117" t="s">
        <v>41</v>
      </c>
      <c r="B68" s="119">
        <v>1054</v>
      </c>
      <c r="C68" s="119">
        <v>1330</v>
      </c>
      <c r="D68" s="119"/>
      <c r="E68" s="119">
        <v>1835</v>
      </c>
      <c r="F68" s="119">
        <f>2321</f>
        <v>2321</v>
      </c>
      <c r="G68" s="119">
        <v>2112</v>
      </c>
      <c r="H68" s="119">
        <v>2109</v>
      </c>
      <c r="I68" s="119">
        <v>3577</v>
      </c>
      <c r="J68" s="119">
        <f>1896+2269</f>
        <v>4165</v>
      </c>
      <c r="K68" s="119">
        <f>1324+2218</f>
        <v>3542</v>
      </c>
      <c r="L68" s="119">
        <f>1670+537+2364</f>
        <v>4571</v>
      </c>
      <c r="M68" s="119">
        <f>1974+2379</f>
        <v>4353</v>
      </c>
      <c r="N68" s="119">
        <f>3806</f>
        <v>3806</v>
      </c>
      <c r="O68" s="119">
        <v>3708</v>
      </c>
      <c r="P68" s="119">
        <f>3701+1313</f>
        <v>5014</v>
      </c>
      <c r="Q68" s="119">
        <f>4844+1426</f>
        <v>6270</v>
      </c>
      <c r="R68" s="119">
        <f>7384</f>
        <v>7384</v>
      </c>
      <c r="S68" s="122">
        <f>5750+2310</f>
        <v>8060</v>
      </c>
    </row>
    <row r="69" spans="1:19" ht="51">
      <c r="A69" s="61" t="s">
        <v>4</v>
      </c>
      <c r="B69" s="9">
        <f>B71</f>
        <v>45235</v>
      </c>
      <c r="C69" s="9">
        <f>219648-SUM(C62:C68)</f>
        <v>16063</v>
      </c>
      <c r="D69" s="9"/>
      <c r="E69" s="9"/>
      <c r="F69" s="9"/>
      <c r="G69" s="9"/>
      <c r="H69" s="9"/>
      <c r="I69" s="9"/>
      <c r="J69" s="9"/>
      <c r="K69" s="9"/>
      <c r="L69" s="9"/>
      <c r="M69" s="9"/>
      <c r="N69" s="9"/>
      <c r="O69" s="9"/>
      <c r="P69" s="9">
        <f>178877-SUM(P62:P68)</f>
        <v>11988</v>
      </c>
      <c r="Q69" s="9">
        <f>213231-SUM(Q62:Q68)</f>
        <v>54070</v>
      </c>
      <c r="R69" s="9">
        <f>195026-SUM(R62:R68)</f>
        <v>9624</v>
      </c>
      <c r="S69" s="8">
        <f>252642-SUM(S62:S68)</f>
        <v>9554</v>
      </c>
    </row>
    <row r="70" spans="1:19" ht="25.5">
      <c r="A70" s="61" t="s">
        <v>3</v>
      </c>
      <c r="B70" s="9">
        <v>0</v>
      </c>
      <c r="C70" s="9">
        <f>C72-219648</f>
        <v>314802</v>
      </c>
      <c r="D70" s="9"/>
      <c r="E70" s="9"/>
      <c r="F70" s="9"/>
      <c r="G70" s="9"/>
      <c r="H70" s="9"/>
      <c r="I70" s="9"/>
      <c r="J70" s="9"/>
      <c r="K70" s="9"/>
      <c r="L70" s="9"/>
      <c r="M70" s="9"/>
      <c r="N70" s="9"/>
      <c r="O70" s="9"/>
      <c r="P70" s="9">
        <f>P72-178877</f>
        <v>137075</v>
      </c>
      <c r="Q70" s="9">
        <f>Q72-213231</f>
        <v>170801</v>
      </c>
      <c r="R70" s="9">
        <f>R72-195026</f>
        <v>222702</v>
      </c>
      <c r="S70" s="8">
        <f>S72-252642</f>
        <v>242529</v>
      </c>
    </row>
    <row r="71" spans="1:19" ht="63.75">
      <c r="A71" s="47" t="s">
        <v>2</v>
      </c>
      <c r="B71" s="74">
        <f>B72-SUM(B62:B68)</f>
        <v>45235</v>
      </c>
      <c r="C71" s="74">
        <f>C72-SUM(C62:C68)</f>
        <v>330865</v>
      </c>
      <c r="D71" s="74"/>
      <c r="E71" s="74">
        <f aca="true" t="shared" si="24" ref="E71:S71">E72-SUM(E62:E68)</f>
        <v>8521</v>
      </c>
      <c r="F71" s="74">
        <f t="shared" si="24"/>
        <v>37223</v>
      </c>
      <c r="G71" s="74">
        <f t="shared" si="24"/>
        <v>33017</v>
      </c>
      <c r="H71" s="74">
        <f t="shared" si="24"/>
        <v>30884</v>
      </c>
      <c r="I71" s="74">
        <f t="shared" si="24"/>
        <v>25337</v>
      </c>
      <c r="J71" s="74">
        <f t="shared" si="24"/>
        <v>24884</v>
      </c>
      <c r="K71" s="74">
        <f t="shared" si="24"/>
        <v>17783</v>
      </c>
      <c r="L71" s="74">
        <f t="shared" si="24"/>
        <v>14475</v>
      </c>
      <c r="M71" s="74">
        <f t="shared" si="24"/>
        <v>13280</v>
      </c>
      <c r="N71" s="74">
        <f t="shared" si="24"/>
        <v>17725</v>
      </c>
      <c r="O71" s="74">
        <f t="shared" si="24"/>
        <v>29150</v>
      </c>
      <c r="P71" s="74">
        <f t="shared" si="24"/>
        <v>149063</v>
      </c>
      <c r="Q71" s="74">
        <f t="shared" si="24"/>
        <v>224871</v>
      </c>
      <c r="R71" s="74">
        <f t="shared" si="24"/>
        <v>232326</v>
      </c>
      <c r="S71" s="75">
        <f t="shared" si="24"/>
        <v>252083</v>
      </c>
    </row>
    <row r="72" spans="1:19" ht="12.75">
      <c r="A72" s="57" t="s">
        <v>1</v>
      </c>
      <c r="B72" s="7">
        <f>51755+205729</f>
        <v>257484</v>
      </c>
      <c r="C72" s="7">
        <f>219648+314802</f>
        <v>534450</v>
      </c>
      <c r="D72" s="7"/>
      <c r="E72" s="7">
        <v>85170</v>
      </c>
      <c r="F72" s="7">
        <v>118878</v>
      </c>
      <c r="G72" s="7">
        <f>116643</f>
        <v>116643</v>
      </c>
      <c r="H72" s="7">
        <v>116012</v>
      </c>
      <c r="I72" s="7">
        <v>112970</v>
      </c>
      <c r="J72" s="7">
        <v>113874</v>
      </c>
      <c r="K72" s="7">
        <v>112209</v>
      </c>
      <c r="L72" s="7">
        <v>117576</v>
      </c>
      <c r="M72" s="7">
        <v>126806</v>
      </c>
      <c r="N72" s="7">
        <v>142212</v>
      </c>
      <c r="O72" s="7">
        <v>173913</v>
      </c>
      <c r="P72" s="7">
        <v>315952</v>
      </c>
      <c r="Q72" s="7">
        <v>384032</v>
      </c>
      <c r="R72" s="7">
        <v>417728</v>
      </c>
      <c r="S72" s="6">
        <v>495171</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655289</v>
      </c>
      <c r="C74" s="4">
        <v>614860</v>
      </c>
      <c r="D74" s="4"/>
      <c r="E74" s="4">
        <v>125029</v>
      </c>
      <c r="F74" s="4">
        <v>131022</v>
      </c>
      <c r="G74" s="4">
        <v>135643</v>
      </c>
      <c r="H74" s="4">
        <v>136563</v>
      </c>
      <c r="I74" s="4">
        <v>121588</v>
      </c>
      <c r="J74" s="4">
        <v>132499</v>
      </c>
      <c r="K74" s="4">
        <v>135495</v>
      </c>
      <c r="L74" s="4">
        <v>142599</v>
      </c>
      <c r="M74" s="4">
        <v>138436</v>
      </c>
      <c r="N74" s="4">
        <v>137334</v>
      </c>
      <c r="O74" s="4">
        <v>158346</v>
      </c>
      <c r="P74" s="4">
        <v>1277567</v>
      </c>
      <c r="Q74" s="4">
        <v>1316808</v>
      </c>
      <c r="R74" s="4">
        <v>1398928</v>
      </c>
      <c r="S74" s="3">
        <f>1560115</f>
        <v>1560115</v>
      </c>
    </row>
    <row r="76" ht="12.75"/>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pane xSplit="1" ySplit="2" topLeftCell="B3" activePane="bottomRight" state="frozen"/>
      <selection pane="topLeft" activeCell="H29" sqref="H29"/>
      <selection pane="topRight" activeCell="H29" sqref="H29"/>
      <selection pane="bottomLeft" activeCell="H29" sqref="H29"/>
      <selection pane="bottomRight" activeCell="T40" sqref="T40"/>
    </sheetView>
  </sheetViews>
  <sheetFormatPr defaultColWidth="9.140625" defaultRowHeight="15" outlineLevelRow="1"/>
  <cols>
    <col min="1" max="1" width="32.421875" style="2" customWidth="1"/>
    <col min="2" max="17" width="9.140625" style="1" customWidth="1"/>
    <col min="18" max="18" width="9.57421875" style="1" bestFit="1" customWidth="1"/>
    <col min="19" max="16384" width="9.140625" style="1" customWidth="1"/>
  </cols>
  <sheetData>
    <row r="1" spans="1:19" ht="12.75">
      <c r="A1" s="21"/>
      <c r="B1" s="482" t="s">
        <v>67</v>
      </c>
      <c r="C1" s="483"/>
      <c r="D1" s="483"/>
      <c r="E1" s="483"/>
      <c r="F1" s="483"/>
      <c r="G1" s="483"/>
      <c r="H1" s="483"/>
      <c r="I1" s="483"/>
      <c r="J1" s="483"/>
      <c r="K1" s="483"/>
      <c r="L1" s="483"/>
      <c r="M1" s="483"/>
      <c r="N1" s="483"/>
      <c r="O1" s="483"/>
      <c r="P1" s="483"/>
      <c r="Q1" s="483"/>
      <c r="R1" s="483"/>
      <c r="S1" s="484"/>
    </row>
    <row r="2" spans="1:19" ht="12.75">
      <c r="A2" s="43"/>
      <c r="B2" s="88">
        <v>1991</v>
      </c>
      <c r="C2" s="88">
        <v>1992</v>
      </c>
      <c r="D2" s="88">
        <v>1993</v>
      </c>
      <c r="E2" s="88">
        <v>1994</v>
      </c>
      <c r="F2" s="88">
        <v>1995</v>
      </c>
      <c r="G2" s="88">
        <v>1996</v>
      </c>
      <c r="H2" s="44">
        <v>1997</v>
      </c>
      <c r="I2" s="44">
        <v>1998</v>
      </c>
      <c r="J2" s="88">
        <v>1999</v>
      </c>
      <c r="K2" s="44">
        <v>2000</v>
      </c>
      <c r="L2" s="44">
        <v>2001</v>
      </c>
      <c r="M2" s="88">
        <v>2002</v>
      </c>
      <c r="N2" s="44">
        <v>2003</v>
      </c>
      <c r="O2" s="44">
        <v>2004</v>
      </c>
      <c r="P2" s="44">
        <v>2005</v>
      </c>
      <c r="Q2" s="44">
        <v>2006</v>
      </c>
      <c r="R2" s="44">
        <v>2007</v>
      </c>
      <c r="S2" s="116">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v>4738</v>
      </c>
      <c r="C5" s="2">
        <v>4736</v>
      </c>
      <c r="D5" s="2">
        <v>4717</v>
      </c>
      <c r="E5" s="2">
        <v>4910</v>
      </c>
      <c r="F5" s="2">
        <v>5348</v>
      </c>
      <c r="G5" s="2">
        <v>5789</v>
      </c>
      <c r="H5" s="2">
        <v>6179</v>
      </c>
      <c r="I5" s="2">
        <v>6382</v>
      </c>
      <c r="J5" s="2">
        <f>734+231+1151+110+729+794+210+144+595+641+396+396+127+184+2</f>
        <v>6444</v>
      </c>
      <c r="K5" s="2">
        <f>762+239+1193+114+757+218+824+150+617+665+411+383+191+132+2</f>
        <v>6658</v>
      </c>
      <c r="L5" s="2">
        <f>746+290+1224+108+712+761+205+139+586+673+406+410+101+144+2</f>
        <v>6507</v>
      </c>
      <c r="M5" s="2">
        <f>742+366+132+83+633+595+272+189+456+446+402+266+385+361+138+2+504</f>
        <v>5972</v>
      </c>
      <c r="N5" s="2">
        <f>716+552+582+83+74+532+524+442+177+387+342+316+236+345+343+128+5+472</f>
        <v>6256</v>
      </c>
      <c r="O5" s="2">
        <f>921+696+705+162+109+593+579+673+205+366+281+397+343+392+457+113+2+400</f>
        <v>7394</v>
      </c>
      <c r="P5" s="2">
        <f>2815+333+4085+228+188+920+385+892+349</f>
        <v>10195</v>
      </c>
      <c r="Q5" s="2">
        <f>1661+349+4796+282+258+1141+450+1045+393+1</f>
        <v>10376</v>
      </c>
      <c r="R5" s="2">
        <f>R15-R14-R13</f>
        <v>9606</v>
      </c>
      <c r="S5" s="5">
        <f>S15-S14-S13</f>
        <v>11318</v>
      </c>
    </row>
    <row r="6" spans="1:19" ht="12.75">
      <c r="A6" s="47" t="s">
        <v>28</v>
      </c>
      <c r="B6" s="2"/>
      <c r="C6" s="2"/>
      <c r="D6" s="2"/>
      <c r="E6" s="2"/>
      <c r="F6" s="2"/>
      <c r="G6" s="2"/>
      <c r="H6" s="2"/>
      <c r="I6" s="2"/>
      <c r="J6" s="2"/>
      <c r="K6" s="2"/>
      <c r="L6" s="2"/>
      <c r="M6" s="2"/>
      <c r="N6" s="2"/>
      <c r="O6" s="2"/>
      <c r="P6" s="2"/>
      <c r="Q6" s="2"/>
      <c r="R6" s="2"/>
      <c r="S6" s="5"/>
    </row>
    <row r="7" spans="1:19" ht="12.75">
      <c r="A7" s="47" t="s">
        <v>27</v>
      </c>
      <c r="B7" s="2"/>
      <c r="C7" s="2"/>
      <c r="D7" s="2"/>
      <c r="E7" s="2"/>
      <c r="F7" s="2"/>
      <c r="G7" s="2"/>
      <c r="H7" s="2"/>
      <c r="I7" s="2"/>
      <c r="J7" s="2">
        <f>J18</f>
        <v>0</v>
      </c>
      <c r="K7" s="2">
        <f aca="true" t="shared" si="0" ref="K7:S7">K18</f>
        <v>0</v>
      </c>
      <c r="L7" s="2">
        <f t="shared" si="0"/>
        <v>0</v>
      </c>
      <c r="M7" s="2">
        <f t="shared" si="0"/>
        <v>0</v>
      </c>
      <c r="N7" s="2">
        <f t="shared" si="0"/>
        <v>0</v>
      </c>
      <c r="O7" s="2">
        <f t="shared" si="0"/>
        <v>0</v>
      </c>
      <c r="P7" s="2">
        <f t="shared" si="0"/>
        <v>0</v>
      </c>
      <c r="Q7" s="2">
        <f t="shared" si="0"/>
        <v>0</v>
      </c>
      <c r="R7" s="2">
        <f t="shared" si="0"/>
        <v>0</v>
      </c>
      <c r="S7" s="5">
        <f t="shared" si="0"/>
        <v>0</v>
      </c>
    </row>
    <row r="8" spans="1:19" ht="12.75">
      <c r="A8" s="47" t="s">
        <v>26</v>
      </c>
      <c r="B8" s="2"/>
      <c r="C8" s="2"/>
      <c r="D8" s="2"/>
      <c r="E8" s="2"/>
      <c r="F8" s="2"/>
      <c r="G8" s="2"/>
      <c r="H8" s="2"/>
      <c r="I8" s="2"/>
      <c r="J8" s="2">
        <f>J24</f>
        <v>0</v>
      </c>
      <c r="K8" s="2">
        <f aca="true" t="shared" si="1" ref="K8:S8">K24</f>
        <v>0</v>
      </c>
      <c r="L8" s="2">
        <f t="shared" si="1"/>
        <v>0</v>
      </c>
      <c r="M8" s="2">
        <f t="shared" si="1"/>
        <v>0</v>
      </c>
      <c r="N8" s="2">
        <f t="shared" si="1"/>
        <v>0</v>
      </c>
      <c r="O8" s="2">
        <f t="shared" si="1"/>
        <v>0</v>
      </c>
      <c r="P8" s="2">
        <f t="shared" si="1"/>
        <v>0</v>
      </c>
      <c r="Q8" s="2">
        <f t="shared" si="1"/>
        <v>0</v>
      </c>
      <c r="R8" s="2">
        <f t="shared" si="1"/>
        <v>0</v>
      </c>
      <c r="S8" s="5">
        <f t="shared" si="1"/>
        <v>0</v>
      </c>
    </row>
    <row r="9" spans="1:19" ht="12.75">
      <c r="A9" s="59" t="s">
        <v>35</v>
      </c>
      <c r="B9" s="78">
        <f>B36</f>
        <v>1820</v>
      </c>
      <c r="C9" s="78">
        <f>C36</f>
        <v>1927</v>
      </c>
      <c r="D9" s="78"/>
      <c r="E9" s="78"/>
      <c r="F9" s="13"/>
      <c r="G9" s="13"/>
      <c r="H9" s="13"/>
      <c r="I9" s="13"/>
      <c r="J9" s="13">
        <f>J36</f>
        <v>2867</v>
      </c>
      <c r="K9" s="13">
        <f aca="true" t="shared" si="2" ref="K9:S9">K36</f>
        <v>2882</v>
      </c>
      <c r="L9" s="13">
        <f t="shared" si="2"/>
        <v>3080</v>
      </c>
      <c r="M9" s="13">
        <f t="shared" si="2"/>
        <v>3563</v>
      </c>
      <c r="N9" s="13">
        <f t="shared" si="2"/>
        <v>3984</v>
      </c>
      <c r="O9" s="13">
        <f t="shared" si="2"/>
        <v>3777</v>
      </c>
      <c r="P9" s="13">
        <f t="shared" si="2"/>
        <v>3776</v>
      </c>
      <c r="Q9" s="13">
        <f t="shared" si="2"/>
        <v>4335</v>
      </c>
      <c r="R9" s="13">
        <f t="shared" si="2"/>
        <v>4486</v>
      </c>
      <c r="S9" s="12">
        <f t="shared" si="2"/>
        <v>4888</v>
      </c>
    </row>
    <row r="10" spans="1:19" ht="12.75">
      <c r="A10" s="59" t="s">
        <v>43</v>
      </c>
      <c r="B10" s="78"/>
      <c r="C10" s="78"/>
      <c r="D10" s="78"/>
      <c r="E10" s="78"/>
      <c r="F10" s="13"/>
      <c r="G10" s="13"/>
      <c r="H10" s="13"/>
      <c r="I10" s="13"/>
      <c r="J10" s="13">
        <f>J48</f>
        <v>0</v>
      </c>
      <c r="K10" s="13">
        <f aca="true" t="shared" si="3" ref="K10:S10">K48</f>
        <v>0</v>
      </c>
      <c r="L10" s="13">
        <f t="shared" si="3"/>
        <v>0</v>
      </c>
      <c r="M10" s="13">
        <f t="shared" si="3"/>
        <v>0</v>
      </c>
      <c r="N10" s="13">
        <f t="shared" si="3"/>
        <v>0</v>
      </c>
      <c r="O10" s="13">
        <f t="shared" si="3"/>
        <v>0</v>
      </c>
      <c r="P10" s="13">
        <f t="shared" si="3"/>
        <v>0</v>
      </c>
      <c r="Q10" s="13">
        <f t="shared" si="3"/>
        <v>0</v>
      </c>
      <c r="R10" s="13">
        <f t="shared" si="3"/>
        <v>0</v>
      </c>
      <c r="S10" s="12">
        <f t="shared" si="3"/>
        <v>0</v>
      </c>
    </row>
    <row r="11" spans="1:19" ht="12.75">
      <c r="A11" s="59" t="s">
        <v>44</v>
      </c>
      <c r="B11" s="78"/>
      <c r="C11" s="78"/>
      <c r="D11" s="78"/>
      <c r="E11" s="78"/>
      <c r="F11" s="13"/>
      <c r="G11" s="13"/>
      <c r="H11" s="13"/>
      <c r="I11" s="13"/>
      <c r="J11" s="13">
        <f>J42</f>
        <v>0</v>
      </c>
      <c r="K11" s="13">
        <f aca="true" t="shared" si="4" ref="K11:S11">K42</f>
        <v>0</v>
      </c>
      <c r="L11" s="13">
        <f t="shared" si="4"/>
        <v>0</v>
      </c>
      <c r="M11" s="13">
        <f t="shared" si="4"/>
        <v>0</v>
      </c>
      <c r="N11" s="13">
        <f t="shared" si="4"/>
        <v>0</v>
      </c>
      <c r="O11" s="13">
        <f t="shared" si="4"/>
        <v>0</v>
      </c>
      <c r="P11" s="13">
        <f t="shared" si="4"/>
        <v>0</v>
      </c>
      <c r="Q11" s="13">
        <f t="shared" si="4"/>
        <v>0</v>
      </c>
      <c r="R11" s="13">
        <f t="shared" si="4"/>
        <v>1640</v>
      </c>
      <c r="S11" s="12">
        <f t="shared" si="4"/>
        <v>2154</v>
      </c>
    </row>
    <row r="12" spans="1:19" ht="12.75">
      <c r="A12" s="47" t="s">
        <v>25</v>
      </c>
      <c r="B12" s="2"/>
      <c r="C12" s="2"/>
      <c r="D12" s="2"/>
      <c r="E12" s="2"/>
      <c r="F12" s="2"/>
      <c r="G12" s="2"/>
      <c r="H12" s="2"/>
      <c r="I12" s="2"/>
      <c r="J12" s="2">
        <f>J30</f>
        <v>0</v>
      </c>
      <c r="K12" s="2">
        <f aca="true" t="shared" si="5" ref="K12:S12">K30</f>
        <v>0</v>
      </c>
      <c r="L12" s="2">
        <f t="shared" si="5"/>
        <v>0</v>
      </c>
      <c r="M12" s="2">
        <f t="shared" si="5"/>
        <v>0</v>
      </c>
      <c r="N12" s="2">
        <f t="shared" si="5"/>
        <v>0</v>
      </c>
      <c r="O12" s="2">
        <f t="shared" si="5"/>
        <v>0</v>
      </c>
      <c r="P12" s="2">
        <f t="shared" si="5"/>
        <v>0</v>
      </c>
      <c r="Q12" s="2">
        <f t="shared" si="5"/>
        <v>0</v>
      </c>
      <c r="R12" s="2">
        <f t="shared" si="5"/>
        <v>0</v>
      </c>
      <c r="S12" s="5">
        <f t="shared" si="5"/>
        <v>0</v>
      </c>
    </row>
    <row r="13" spans="1:19" ht="12.75">
      <c r="A13" s="46" t="s">
        <v>24</v>
      </c>
      <c r="B13" s="42">
        <v>1820</v>
      </c>
      <c r="C13" s="42">
        <v>1927</v>
      </c>
      <c r="D13" s="42">
        <v>2324</v>
      </c>
      <c r="E13" s="42">
        <v>2467</v>
      </c>
      <c r="F13" s="42"/>
      <c r="G13" s="42"/>
      <c r="H13" s="42"/>
      <c r="I13" s="42"/>
      <c r="J13" s="42">
        <f>SUM(J7:J12)</f>
        <v>2867</v>
      </c>
      <c r="K13" s="42">
        <f>SUM(K7:K12)</f>
        <v>2882</v>
      </c>
      <c r="L13" s="42">
        <f aca="true" t="shared" si="6" ref="L13:Q13">SUM(L6:L12)</f>
        <v>3080</v>
      </c>
      <c r="M13" s="42">
        <f t="shared" si="6"/>
        <v>3563</v>
      </c>
      <c r="N13" s="42">
        <f t="shared" si="6"/>
        <v>3984</v>
      </c>
      <c r="O13" s="42">
        <f t="shared" si="6"/>
        <v>3777</v>
      </c>
      <c r="P13" s="42">
        <f t="shared" si="6"/>
        <v>3776</v>
      </c>
      <c r="Q13" s="42">
        <f t="shared" si="6"/>
        <v>4335</v>
      </c>
      <c r="R13" s="42">
        <f>SUM(R6:R12)+1305</f>
        <v>7431</v>
      </c>
      <c r="S13" s="28">
        <f>SUM(S6:S12)+1574</f>
        <v>8616</v>
      </c>
    </row>
    <row r="14" spans="1:19" ht="12.75">
      <c r="A14" s="47" t="s">
        <v>23</v>
      </c>
      <c r="B14" s="2"/>
      <c r="C14" s="2"/>
      <c r="D14" s="2"/>
      <c r="E14" s="2"/>
      <c r="F14" s="2"/>
      <c r="G14" s="2"/>
      <c r="H14" s="2"/>
      <c r="I14" s="2"/>
      <c r="J14" s="2"/>
      <c r="K14" s="2"/>
      <c r="L14" s="2"/>
      <c r="M14" s="2"/>
      <c r="N14" s="2"/>
      <c r="O14" s="2"/>
      <c r="P14" s="2"/>
      <c r="Q14" s="2"/>
      <c r="R14" s="2">
        <f>-108</f>
        <v>-108</v>
      </c>
      <c r="S14" s="5">
        <f>-158</f>
        <v>-158</v>
      </c>
    </row>
    <row r="15" spans="1:19" ht="12.75">
      <c r="A15" s="48" t="s">
        <v>22</v>
      </c>
      <c r="B15" s="17">
        <f>SUM(B5,B13:B14)</f>
        <v>6558</v>
      </c>
      <c r="C15" s="17">
        <f>SUM(C5,C13)</f>
        <v>6663</v>
      </c>
      <c r="D15" s="17">
        <f aca="true" t="shared" si="7" ref="D15:Q15">SUM(D5,D13)</f>
        <v>7041</v>
      </c>
      <c r="E15" s="17">
        <f t="shared" si="7"/>
        <v>7377</v>
      </c>
      <c r="F15" s="17">
        <f t="shared" si="7"/>
        <v>5348</v>
      </c>
      <c r="G15" s="17">
        <f t="shared" si="7"/>
        <v>5789</v>
      </c>
      <c r="H15" s="114">
        <f t="shared" si="7"/>
        <v>6179</v>
      </c>
      <c r="I15" s="114">
        <f t="shared" si="7"/>
        <v>6382</v>
      </c>
      <c r="J15" s="114">
        <f>SUM(J5,J13)</f>
        <v>9311</v>
      </c>
      <c r="K15" s="114">
        <f t="shared" si="7"/>
        <v>9540</v>
      </c>
      <c r="L15" s="114">
        <f t="shared" si="7"/>
        <v>9587</v>
      </c>
      <c r="M15" s="114">
        <f t="shared" si="7"/>
        <v>9535</v>
      </c>
      <c r="N15" s="114">
        <f t="shared" si="7"/>
        <v>10240</v>
      </c>
      <c r="O15" s="114">
        <f t="shared" si="7"/>
        <v>11171</v>
      </c>
      <c r="P15" s="114">
        <f t="shared" si="7"/>
        <v>13971</v>
      </c>
      <c r="Q15" s="114">
        <f t="shared" si="7"/>
        <v>14711</v>
      </c>
      <c r="R15" s="114">
        <v>16929</v>
      </c>
      <c r="S15" s="115">
        <v>19776</v>
      </c>
    </row>
    <row r="16" spans="1:19" ht="12.75">
      <c r="A16" s="5"/>
      <c r="B16" s="42"/>
      <c r="C16" s="42"/>
      <c r="D16" s="42"/>
      <c r="E16" s="42"/>
      <c r="F16" s="42"/>
      <c r="G16" s="42"/>
      <c r="H16" s="42"/>
      <c r="I16" s="42"/>
      <c r="J16" s="42"/>
      <c r="K16" s="42"/>
      <c r="L16" s="42"/>
      <c r="M16" s="42"/>
      <c r="N16" s="42"/>
      <c r="O16" s="42"/>
      <c r="P16" s="42"/>
      <c r="Q16" s="42"/>
      <c r="R16" s="42"/>
      <c r="S16" s="28"/>
    </row>
    <row r="17" spans="1:19" ht="12.75" hidden="1" outlineLevel="1">
      <c r="A17" s="41" t="s">
        <v>21</v>
      </c>
      <c r="B17" s="40"/>
      <c r="C17" s="40"/>
      <c r="D17" s="40"/>
      <c r="E17" s="40"/>
      <c r="F17" s="40"/>
      <c r="G17" s="40"/>
      <c r="H17" s="40"/>
      <c r="I17" s="40"/>
      <c r="J17" s="40"/>
      <c r="K17" s="40"/>
      <c r="L17" s="40"/>
      <c r="M17" s="40"/>
      <c r="N17" s="40"/>
      <c r="O17" s="40"/>
      <c r="P17" s="40"/>
      <c r="Q17" s="40"/>
      <c r="R17" s="40"/>
      <c r="S17" s="39"/>
    </row>
    <row r="18" spans="1:19" ht="12.75" hidden="1" outlineLevel="1">
      <c r="A18" s="47" t="s">
        <v>12</v>
      </c>
      <c r="B18" s="30"/>
      <c r="C18" s="30"/>
      <c r="D18" s="30"/>
      <c r="E18" s="30"/>
      <c r="F18" s="30"/>
      <c r="G18" s="30"/>
      <c r="H18" s="30"/>
      <c r="I18" s="30"/>
      <c r="J18" s="30"/>
      <c r="K18" s="30"/>
      <c r="L18" s="30"/>
      <c r="M18" s="30"/>
      <c r="N18" s="30"/>
      <c r="O18" s="30"/>
      <c r="P18" s="30"/>
      <c r="Q18" s="30"/>
      <c r="R18" s="30"/>
      <c r="S18" s="5"/>
    </row>
    <row r="19" spans="1:19" ht="25.5" hidden="1" outlineLevel="1">
      <c r="A19" s="47" t="s">
        <v>16</v>
      </c>
      <c r="B19" s="30"/>
      <c r="C19" s="30"/>
      <c r="D19" s="30"/>
      <c r="E19" s="30"/>
      <c r="F19" s="30"/>
      <c r="G19" s="30"/>
      <c r="H19" s="30"/>
      <c r="I19" s="30"/>
      <c r="J19" s="30"/>
      <c r="K19" s="30"/>
      <c r="L19" s="30"/>
      <c r="M19" s="30"/>
      <c r="N19" s="30"/>
      <c r="O19" s="30"/>
      <c r="P19" s="30"/>
      <c r="Q19" s="30"/>
      <c r="R19" s="30"/>
      <c r="S19" s="5"/>
    </row>
    <row r="20" spans="1:19" ht="12.75" hidden="1" outlineLevel="1">
      <c r="A20" s="46" t="s">
        <v>20</v>
      </c>
      <c r="B20" s="29">
        <f aca="true" t="shared" si="8" ref="B20:S20">SUM(B18:B19)</f>
        <v>0</v>
      </c>
      <c r="C20" s="29">
        <f t="shared" si="8"/>
        <v>0</v>
      </c>
      <c r="D20" s="29">
        <f t="shared" si="8"/>
        <v>0</v>
      </c>
      <c r="E20" s="29">
        <f t="shared" si="8"/>
        <v>0</v>
      </c>
      <c r="F20" s="29">
        <f t="shared" si="8"/>
        <v>0</v>
      </c>
      <c r="G20" s="29">
        <f t="shared" si="8"/>
        <v>0</v>
      </c>
      <c r="H20" s="29">
        <f t="shared" si="8"/>
        <v>0</v>
      </c>
      <c r="I20" s="29">
        <f t="shared" si="8"/>
        <v>0</v>
      </c>
      <c r="J20" s="29">
        <f t="shared" si="8"/>
        <v>0</v>
      </c>
      <c r="K20" s="29">
        <f t="shared" si="8"/>
        <v>0</v>
      </c>
      <c r="L20" s="29">
        <f t="shared" si="8"/>
        <v>0</v>
      </c>
      <c r="M20" s="29">
        <f t="shared" si="8"/>
        <v>0</v>
      </c>
      <c r="N20" s="29">
        <f t="shared" si="8"/>
        <v>0</v>
      </c>
      <c r="O20" s="29">
        <f t="shared" si="8"/>
        <v>0</v>
      </c>
      <c r="P20" s="29">
        <f t="shared" si="8"/>
        <v>0</v>
      </c>
      <c r="Q20" s="29">
        <f t="shared" si="8"/>
        <v>0</v>
      </c>
      <c r="R20" s="29">
        <f t="shared" si="8"/>
        <v>0</v>
      </c>
      <c r="S20" s="28">
        <f t="shared" si="8"/>
        <v>0</v>
      </c>
    </row>
    <row r="21" spans="1:19" ht="12.75" hidden="1" outlineLevel="1">
      <c r="A21" s="49" t="s">
        <v>14</v>
      </c>
      <c r="B21" s="27"/>
      <c r="C21" s="27"/>
      <c r="D21" s="27"/>
      <c r="E21" s="27"/>
      <c r="F21" s="27"/>
      <c r="G21" s="27"/>
      <c r="H21" s="27"/>
      <c r="I21" s="27"/>
      <c r="J21" s="27"/>
      <c r="K21" s="27"/>
      <c r="L21" s="27"/>
      <c r="M21" s="27"/>
      <c r="N21" s="27"/>
      <c r="O21" s="27"/>
      <c r="P21" s="27"/>
      <c r="Q21" s="27"/>
      <c r="R21" s="27"/>
      <c r="S21" s="26"/>
    </row>
    <row r="22" spans="1:19" ht="12.75" hidden="1" outlineLevel="1">
      <c r="A22" s="5"/>
      <c r="B22" s="42"/>
      <c r="C22" s="42"/>
      <c r="D22" s="42"/>
      <c r="E22" s="42"/>
      <c r="F22" s="42"/>
      <c r="G22" s="42"/>
      <c r="H22" s="42"/>
      <c r="I22" s="42"/>
      <c r="J22" s="42"/>
      <c r="K22" s="42"/>
      <c r="L22" s="42"/>
      <c r="M22" s="42"/>
      <c r="N22" s="42"/>
      <c r="O22" s="42"/>
      <c r="P22" s="42"/>
      <c r="Q22" s="42"/>
      <c r="R22" s="42"/>
      <c r="S22" s="28"/>
    </row>
    <row r="23" spans="1:19" ht="12.75" hidden="1" outlineLevel="1">
      <c r="A23" s="38" t="s">
        <v>19</v>
      </c>
      <c r="B23" s="37"/>
      <c r="C23" s="37"/>
      <c r="D23" s="37"/>
      <c r="E23" s="37"/>
      <c r="F23" s="37"/>
      <c r="G23" s="37"/>
      <c r="H23" s="37"/>
      <c r="I23" s="37"/>
      <c r="J23" s="37"/>
      <c r="K23" s="37"/>
      <c r="L23" s="37"/>
      <c r="M23" s="37"/>
      <c r="N23" s="37"/>
      <c r="O23" s="37"/>
      <c r="P23" s="37"/>
      <c r="Q23" s="37"/>
      <c r="R23" s="37"/>
      <c r="S23" s="36"/>
    </row>
    <row r="24" spans="1:19" ht="12.75" hidden="1" outlineLevel="1">
      <c r="A24" s="47" t="s">
        <v>12</v>
      </c>
      <c r="B24" s="30"/>
      <c r="C24" s="30"/>
      <c r="D24" s="30"/>
      <c r="E24" s="30"/>
      <c r="F24" s="30"/>
      <c r="G24" s="30"/>
      <c r="H24" s="30"/>
      <c r="I24" s="30"/>
      <c r="J24" s="30"/>
      <c r="K24" s="30"/>
      <c r="L24" s="30"/>
      <c r="M24" s="30"/>
      <c r="N24" s="30"/>
      <c r="O24" s="30"/>
      <c r="P24" s="30"/>
      <c r="Q24" s="30"/>
      <c r="R24" s="30"/>
      <c r="S24" s="5"/>
    </row>
    <row r="25" spans="1:19" ht="25.5" hidden="1" outlineLevel="1">
      <c r="A25" s="47" t="s">
        <v>16</v>
      </c>
      <c r="B25" s="30"/>
      <c r="C25" s="30"/>
      <c r="D25" s="30"/>
      <c r="E25" s="30"/>
      <c r="F25" s="30"/>
      <c r="G25" s="30"/>
      <c r="H25" s="30"/>
      <c r="I25" s="30"/>
      <c r="J25" s="30"/>
      <c r="K25" s="30"/>
      <c r="L25" s="30"/>
      <c r="M25" s="30"/>
      <c r="N25" s="30"/>
      <c r="O25" s="30"/>
      <c r="P25" s="30"/>
      <c r="Q25" s="30"/>
      <c r="R25" s="30"/>
      <c r="S25" s="5"/>
    </row>
    <row r="26" spans="1:19" ht="12.75" hidden="1" outlineLevel="1">
      <c r="A26" s="46" t="s">
        <v>18</v>
      </c>
      <c r="B26" s="29">
        <f aca="true" t="shared" si="9" ref="B26:S26">SUM(B24:B25)</f>
        <v>0</v>
      </c>
      <c r="C26" s="29">
        <f t="shared" si="9"/>
        <v>0</v>
      </c>
      <c r="D26" s="29">
        <f t="shared" si="9"/>
        <v>0</v>
      </c>
      <c r="E26" s="29">
        <f t="shared" si="9"/>
        <v>0</v>
      </c>
      <c r="F26" s="29">
        <f t="shared" si="9"/>
        <v>0</v>
      </c>
      <c r="G26" s="29">
        <f t="shared" si="9"/>
        <v>0</v>
      </c>
      <c r="H26" s="29">
        <f t="shared" si="9"/>
        <v>0</v>
      </c>
      <c r="I26" s="29">
        <f t="shared" si="9"/>
        <v>0</v>
      </c>
      <c r="J26" s="29">
        <f t="shared" si="9"/>
        <v>0</v>
      </c>
      <c r="K26" s="29">
        <f t="shared" si="9"/>
        <v>0</v>
      </c>
      <c r="L26" s="29">
        <f t="shared" si="9"/>
        <v>0</v>
      </c>
      <c r="M26" s="29">
        <f t="shared" si="9"/>
        <v>0</v>
      </c>
      <c r="N26" s="29">
        <f t="shared" si="9"/>
        <v>0</v>
      </c>
      <c r="O26" s="29">
        <f t="shared" si="9"/>
        <v>0</v>
      </c>
      <c r="P26" s="29">
        <f t="shared" si="9"/>
        <v>0</v>
      </c>
      <c r="Q26" s="29">
        <f t="shared" si="9"/>
        <v>0</v>
      </c>
      <c r="R26" s="29">
        <f t="shared" si="9"/>
        <v>0</v>
      </c>
      <c r="S26" s="28">
        <f t="shared" si="9"/>
        <v>0</v>
      </c>
    </row>
    <row r="27" spans="1:19" ht="12.75" hidden="1" outlineLevel="1">
      <c r="A27" s="51" t="s">
        <v>14</v>
      </c>
      <c r="B27" s="35"/>
      <c r="C27" s="35"/>
      <c r="D27" s="35"/>
      <c r="E27" s="35"/>
      <c r="F27" s="35"/>
      <c r="G27" s="35"/>
      <c r="H27" s="35"/>
      <c r="I27" s="35"/>
      <c r="J27" s="35"/>
      <c r="K27" s="35"/>
      <c r="L27" s="35"/>
      <c r="M27" s="35"/>
      <c r="N27" s="35"/>
      <c r="O27" s="35"/>
      <c r="P27" s="35"/>
      <c r="Q27" s="35"/>
      <c r="R27" s="35"/>
      <c r="S27" s="34"/>
    </row>
    <row r="28" spans="1:19" ht="12.75" hidden="1" outlineLevel="1">
      <c r="A28" s="5"/>
      <c r="B28" s="42"/>
      <c r="C28" s="42"/>
      <c r="D28" s="42"/>
      <c r="E28" s="42"/>
      <c r="F28" s="42"/>
      <c r="G28" s="42"/>
      <c r="H28" s="42"/>
      <c r="I28" s="42"/>
      <c r="J28" s="42"/>
      <c r="K28" s="42"/>
      <c r="L28" s="42"/>
      <c r="M28" s="42"/>
      <c r="N28" s="42"/>
      <c r="O28" s="42"/>
      <c r="P28" s="42"/>
      <c r="Q28" s="42"/>
      <c r="R28" s="42"/>
      <c r="S28" s="28"/>
    </row>
    <row r="29" spans="1:19" ht="12.75" hidden="1" outlineLevel="1">
      <c r="A29" s="33" t="s">
        <v>17</v>
      </c>
      <c r="B29" s="32"/>
      <c r="C29" s="32"/>
      <c r="D29" s="32"/>
      <c r="E29" s="32"/>
      <c r="F29" s="32"/>
      <c r="G29" s="32"/>
      <c r="H29" s="32"/>
      <c r="I29" s="32"/>
      <c r="J29" s="32"/>
      <c r="K29" s="32"/>
      <c r="L29" s="32"/>
      <c r="M29" s="32"/>
      <c r="N29" s="32"/>
      <c r="O29" s="32"/>
      <c r="P29" s="32"/>
      <c r="Q29" s="32"/>
      <c r="R29" s="32"/>
      <c r="S29" s="31"/>
    </row>
    <row r="30" spans="1:19" ht="12.75" hidden="1" outlineLevel="1">
      <c r="A30" s="47" t="s">
        <v>12</v>
      </c>
      <c r="B30" s="30"/>
      <c r="C30" s="30"/>
      <c r="D30" s="30"/>
      <c r="E30" s="30"/>
      <c r="F30" s="30"/>
      <c r="G30" s="30"/>
      <c r="H30" s="30"/>
      <c r="I30" s="30"/>
      <c r="J30" s="30"/>
      <c r="K30" s="30"/>
      <c r="L30" s="30"/>
      <c r="M30" s="30"/>
      <c r="N30" s="30"/>
      <c r="O30" s="30"/>
      <c r="P30" s="30"/>
      <c r="Q30" s="30"/>
      <c r="R30" s="30"/>
      <c r="S30" s="5"/>
    </row>
    <row r="31" spans="1:19" ht="25.5" hidden="1" outlineLevel="1">
      <c r="A31" s="47" t="s">
        <v>16</v>
      </c>
      <c r="B31" s="30"/>
      <c r="C31" s="30"/>
      <c r="D31" s="30"/>
      <c r="E31" s="30"/>
      <c r="F31" s="30"/>
      <c r="G31" s="30"/>
      <c r="H31" s="30"/>
      <c r="I31" s="30"/>
      <c r="J31" s="30"/>
      <c r="K31" s="30"/>
      <c r="L31" s="30"/>
      <c r="M31" s="30"/>
      <c r="N31" s="30"/>
      <c r="O31" s="30"/>
      <c r="P31" s="30"/>
      <c r="Q31" s="30"/>
      <c r="R31" s="30"/>
      <c r="S31" s="5"/>
    </row>
    <row r="32" spans="1:19" ht="12.75" hidden="1" outlineLevel="1">
      <c r="A32" s="46" t="s">
        <v>15</v>
      </c>
      <c r="B32" s="29">
        <f aca="true" t="shared" si="10" ref="B32:S32">SUM(B30:B31)</f>
        <v>0</v>
      </c>
      <c r="C32" s="29">
        <f t="shared" si="10"/>
        <v>0</v>
      </c>
      <c r="D32" s="29">
        <f t="shared" si="10"/>
        <v>0</v>
      </c>
      <c r="E32" s="29">
        <f t="shared" si="10"/>
        <v>0</v>
      </c>
      <c r="F32" s="29">
        <f t="shared" si="10"/>
        <v>0</v>
      </c>
      <c r="G32" s="29">
        <f t="shared" si="10"/>
        <v>0</v>
      </c>
      <c r="H32" s="29">
        <f t="shared" si="10"/>
        <v>0</v>
      </c>
      <c r="I32" s="29">
        <f t="shared" si="10"/>
        <v>0</v>
      </c>
      <c r="J32" s="29">
        <f t="shared" si="10"/>
        <v>0</v>
      </c>
      <c r="K32" s="29">
        <f t="shared" si="10"/>
        <v>0</v>
      </c>
      <c r="L32" s="29">
        <f t="shared" si="10"/>
        <v>0</v>
      </c>
      <c r="M32" s="29">
        <f t="shared" si="10"/>
        <v>0</v>
      </c>
      <c r="N32" s="29">
        <f t="shared" si="10"/>
        <v>0</v>
      </c>
      <c r="O32" s="29">
        <f t="shared" si="10"/>
        <v>0</v>
      </c>
      <c r="P32" s="29">
        <f t="shared" si="10"/>
        <v>0</v>
      </c>
      <c r="Q32" s="29">
        <f t="shared" si="10"/>
        <v>0</v>
      </c>
      <c r="R32" s="29">
        <f t="shared" si="10"/>
        <v>0</v>
      </c>
      <c r="S32" s="28">
        <f t="shared" si="10"/>
        <v>0</v>
      </c>
    </row>
    <row r="33" spans="1:19" ht="12.75" hidden="1" outlineLevel="1">
      <c r="A33" s="49" t="s">
        <v>14</v>
      </c>
      <c r="B33" s="27"/>
      <c r="C33" s="27"/>
      <c r="D33" s="27"/>
      <c r="E33" s="27"/>
      <c r="F33" s="27"/>
      <c r="G33" s="27"/>
      <c r="H33" s="27"/>
      <c r="I33" s="27"/>
      <c r="J33" s="27"/>
      <c r="K33" s="27"/>
      <c r="L33" s="27"/>
      <c r="M33" s="27"/>
      <c r="N33" s="27"/>
      <c r="O33" s="27"/>
      <c r="P33" s="27"/>
      <c r="Q33" s="27"/>
      <c r="R33" s="27"/>
      <c r="S33" s="26"/>
    </row>
    <row r="34" spans="1:19" ht="12.75" collapsed="1">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f>1820</f>
        <v>1820</v>
      </c>
      <c r="C36" s="30">
        <v>1927</v>
      </c>
      <c r="D36" s="30"/>
      <c r="E36" s="30"/>
      <c r="F36" s="30"/>
      <c r="G36" s="30"/>
      <c r="H36" s="30"/>
      <c r="I36" s="30"/>
      <c r="J36" s="30">
        <f>267+2600</f>
        <v>2867</v>
      </c>
      <c r="K36" s="30">
        <f>291+2591</f>
        <v>2882</v>
      </c>
      <c r="L36" s="30">
        <f>2717+363</f>
        <v>3080</v>
      </c>
      <c r="M36" s="30">
        <f>3227+336</f>
        <v>3563</v>
      </c>
      <c r="N36" s="30">
        <f>3601+383</f>
        <v>3984</v>
      </c>
      <c r="O36" s="30">
        <f>3517+260</f>
        <v>3777</v>
      </c>
      <c r="P36" s="30">
        <v>3776</v>
      </c>
      <c r="Q36" s="30">
        <v>4335</v>
      </c>
      <c r="R36" s="30">
        <v>4486</v>
      </c>
      <c r="S36" s="5">
        <v>4888</v>
      </c>
    </row>
    <row r="37" spans="1:19" ht="25.5">
      <c r="A37" s="47" t="s">
        <v>16</v>
      </c>
      <c r="B37" s="30">
        <f>2640+750</f>
        <v>3390</v>
      </c>
      <c r="C37" s="30">
        <v>3839</v>
      </c>
      <c r="D37" s="30">
        <v>2662</v>
      </c>
      <c r="E37" s="30">
        <v>2783</v>
      </c>
      <c r="F37" s="30">
        <v>2782</v>
      </c>
      <c r="G37" s="30">
        <v>3073</v>
      </c>
      <c r="H37" s="30">
        <v>3476</v>
      </c>
      <c r="I37" s="30">
        <v>3397</v>
      </c>
      <c r="J37" s="30">
        <f>18+299+187+101+2+6</f>
        <v>613</v>
      </c>
      <c r="K37" s="30">
        <f>28+350+244+120+3</f>
        <v>745</v>
      </c>
      <c r="L37" s="30">
        <f>418+4+195+139+8</f>
        <v>764</v>
      </c>
      <c r="M37" s="30">
        <f>54+703+218+251+10</f>
        <v>1236</v>
      </c>
      <c r="N37" s="30">
        <f>17+848+142+315+21</f>
        <v>1343</v>
      </c>
      <c r="O37" s="30">
        <f>5+821+121+237+12</f>
        <v>1196</v>
      </c>
      <c r="P37" s="30">
        <f>754+125+7220</f>
        <v>8099</v>
      </c>
      <c r="Q37" s="30">
        <f>338+71+874</f>
        <v>1283</v>
      </c>
      <c r="R37" s="30">
        <f>100+1146+1231</f>
        <v>2477</v>
      </c>
      <c r="S37" s="5">
        <f>82+413+1704</f>
        <v>2199</v>
      </c>
    </row>
    <row r="38" spans="1:19" ht="12.75">
      <c r="A38" s="46" t="s">
        <v>18</v>
      </c>
      <c r="B38" s="29">
        <f aca="true" t="shared" si="11" ref="B38:S38">SUM(B36:B37)</f>
        <v>5210</v>
      </c>
      <c r="C38" s="29">
        <f t="shared" si="11"/>
        <v>5766</v>
      </c>
      <c r="D38" s="29">
        <f t="shared" si="11"/>
        <v>2662</v>
      </c>
      <c r="E38" s="29">
        <f t="shared" si="11"/>
        <v>2783</v>
      </c>
      <c r="F38" s="29">
        <f t="shared" si="11"/>
        <v>2782</v>
      </c>
      <c r="G38" s="29">
        <f t="shared" si="11"/>
        <v>3073</v>
      </c>
      <c r="H38" s="29">
        <f t="shared" si="11"/>
        <v>3476</v>
      </c>
      <c r="I38" s="29">
        <f t="shared" si="11"/>
        <v>3397</v>
      </c>
      <c r="J38" s="29">
        <f t="shared" si="11"/>
        <v>3480</v>
      </c>
      <c r="K38" s="29">
        <f t="shared" si="11"/>
        <v>3627</v>
      </c>
      <c r="L38" s="29">
        <f t="shared" si="11"/>
        <v>3844</v>
      </c>
      <c r="M38" s="29">
        <f t="shared" si="11"/>
        <v>4799</v>
      </c>
      <c r="N38" s="29">
        <f t="shared" si="11"/>
        <v>5327</v>
      </c>
      <c r="O38" s="29">
        <f t="shared" si="11"/>
        <v>4973</v>
      </c>
      <c r="P38" s="29">
        <f t="shared" si="11"/>
        <v>11875</v>
      </c>
      <c r="Q38" s="29">
        <f t="shared" si="11"/>
        <v>5618</v>
      </c>
      <c r="R38" s="29">
        <f t="shared" si="11"/>
        <v>6963</v>
      </c>
      <c r="S38" s="28">
        <f t="shared" si="11"/>
        <v>7087</v>
      </c>
    </row>
    <row r="39" spans="1:19" ht="12.75">
      <c r="A39" s="51" t="s">
        <v>14</v>
      </c>
      <c r="B39" s="35">
        <f aca="true" t="shared" si="12" ref="B39:S39">B38-B66</f>
        <v>-287</v>
      </c>
      <c r="C39" s="35">
        <f t="shared" si="12"/>
        <v>1458</v>
      </c>
      <c r="D39" s="35">
        <f t="shared" si="12"/>
        <v>172</v>
      </c>
      <c r="E39" s="35">
        <f t="shared" si="12"/>
        <v>177</v>
      </c>
      <c r="F39" s="35">
        <f t="shared" si="12"/>
        <v>-2</v>
      </c>
      <c r="G39" s="35">
        <f t="shared" si="12"/>
        <v>-154</v>
      </c>
      <c r="H39" s="35">
        <f t="shared" si="12"/>
        <v>341</v>
      </c>
      <c r="I39" s="35">
        <f t="shared" si="12"/>
        <v>271</v>
      </c>
      <c r="J39" s="35">
        <f t="shared" si="12"/>
        <v>-1527</v>
      </c>
      <c r="K39" s="35">
        <f t="shared" si="12"/>
        <v>-1494</v>
      </c>
      <c r="L39" s="35">
        <f t="shared" si="12"/>
        <v>-1035</v>
      </c>
      <c r="M39" s="35">
        <f t="shared" si="12"/>
        <v>-586</v>
      </c>
      <c r="N39" s="35">
        <f t="shared" si="12"/>
        <v>-467</v>
      </c>
      <c r="O39" s="35">
        <f t="shared" si="12"/>
        <v>-951</v>
      </c>
      <c r="P39" s="35">
        <f t="shared" si="12"/>
        <v>-1761</v>
      </c>
      <c r="Q39" s="35">
        <f t="shared" si="12"/>
        <v>-3976</v>
      </c>
      <c r="R39" s="35">
        <f t="shared" si="12"/>
        <v>-1700</v>
      </c>
      <c r="S39" s="34">
        <f t="shared" si="12"/>
        <v>97</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c r="D42" s="30"/>
      <c r="E42" s="30"/>
      <c r="F42" s="30"/>
      <c r="G42" s="30"/>
      <c r="H42" s="30"/>
      <c r="I42" s="30"/>
      <c r="J42" s="30"/>
      <c r="K42" s="30"/>
      <c r="L42" s="30"/>
      <c r="M42" s="30"/>
      <c r="N42" s="30"/>
      <c r="O42" s="30"/>
      <c r="P42" s="30"/>
      <c r="Q42" s="30"/>
      <c r="R42" s="30">
        <v>1640</v>
      </c>
      <c r="S42" s="5">
        <v>2154</v>
      </c>
    </row>
    <row r="43" spans="1:19" ht="25.5">
      <c r="A43" s="47" t="s">
        <v>16</v>
      </c>
      <c r="B43" s="30">
        <f>915</f>
        <v>915</v>
      </c>
      <c r="C43" s="30">
        <f>1249</f>
        <v>1249</v>
      </c>
      <c r="D43" s="30">
        <f>84+1443</f>
        <v>1527</v>
      </c>
      <c r="E43" s="30">
        <f>145+1669</f>
        <v>1814</v>
      </c>
      <c r="F43" s="30">
        <f>59+1852</f>
        <v>1911</v>
      </c>
      <c r="G43" s="30">
        <f>15+1658</f>
        <v>1673</v>
      </c>
      <c r="H43" s="30">
        <f>31+1801</f>
        <v>1832</v>
      </c>
      <c r="I43" s="30">
        <f>31+1909</f>
        <v>1940</v>
      </c>
      <c r="J43" s="30">
        <f>1207+592+340+617+197+13</f>
        <v>2966</v>
      </c>
      <c r="K43" s="30">
        <f>1342+692+300+722+7+231</f>
        <v>3294</v>
      </c>
      <c r="L43" s="30">
        <f>1210+723+278+733+50+203</f>
        <v>3197</v>
      </c>
      <c r="M43" s="30">
        <f>17+497+302+1086+1156+1299+27+833</f>
        <v>5217</v>
      </c>
      <c r="N43" s="30">
        <f>90+1088+300+1284+1235+1308+951+10</f>
        <v>6266</v>
      </c>
      <c r="O43" s="30">
        <f>12+765+204+1409+1211+339+1297+1240</f>
        <v>6477</v>
      </c>
      <c r="P43" s="30">
        <f>8003+2056+603</f>
        <v>10662</v>
      </c>
      <c r="Q43" s="30">
        <f>2784+586+8836</f>
        <v>12206</v>
      </c>
      <c r="R43" s="30">
        <f>2319+4014+10408</f>
        <v>16741</v>
      </c>
      <c r="S43" s="5">
        <f>2479+826+12005</f>
        <v>15310</v>
      </c>
    </row>
    <row r="44" spans="1:19" ht="12.75">
      <c r="A44" s="46" t="s">
        <v>18</v>
      </c>
      <c r="B44" s="29">
        <f aca="true" t="shared" si="13" ref="B44:S44">SUM(B42:B43)</f>
        <v>915</v>
      </c>
      <c r="C44" s="29">
        <f t="shared" si="13"/>
        <v>1249</v>
      </c>
      <c r="D44" s="29">
        <f t="shared" si="13"/>
        <v>1527</v>
      </c>
      <c r="E44" s="29">
        <f t="shared" si="13"/>
        <v>1814</v>
      </c>
      <c r="F44" s="29">
        <f t="shared" si="13"/>
        <v>1911</v>
      </c>
      <c r="G44" s="29">
        <f t="shared" si="13"/>
        <v>1673</v>
      </c>
      <c r="H44" s="29">
        <f t="shared" si="13"/>
        <v>1832</v>
      </c>
      <c r="I44" s="29">
        <f t="shared" si="13"/>
        <v>1940</v>
      </c>
      <c r="J44" s="29">
        <f t="shared" si="13"/>
        <v>2966</v>
      </c>
      <c r="K44" s="29">
        <f t="shared" si="13"/>
        <v>3294</v>
      </c>
      <c r="L44" s="29">
        <f t="shared" si="13"/>
        <v>3197</v>
      </c>
      <c r="M44" s="29">
        <f t="shared" si="13"/>
        <v>5217</v>
      </c>
      <c r="N44" s="29">
        <f t="shared" si="13"/>
        <v>6266</v>
      </c>
      <c r="O44" s="29">
        <f t="shared" si="13"/>
        <v>6477</v>
      </c>
      <c r="P44" s="29">
        <f t="shared" si="13"/>
        <v>10662</v>
      </c>
      <c r="Q44" s="29">
        <f t="shared" si="13"/>
        <v>12206</v>
      </c>
      <c r="R44" s="29">
        <f t="shared" si="13"/>
        <v>18381</v>
      </c>
      <c r="S44" s="28">
        <f t="shared" si="13"/>
        <v>17464</v>
      </c>
    </row>
    <row r="45" spans="1:20" ht="12.75">
      <c r="A45" s="51" t="s">
        <v>14</v>
      </c>
      <c r="B45" s="35">
        <f aca="true" t="shared" si="14" ref="B45:S45">B44-B67</f>
        <v>-1193</v>
      </c>
      <c r="C45" s="35">
        <f t="shared" si="14"/>
        <v>-1788</v>
      </c>
      <c r="D45" s="35">
        <f t="shared" si="14"/>
        <v>-2463</v>
      </c>
      <c r="E45" s="35">
        <f t="shared" si="14"/>
        <v>-2464</v>
      </c>
      <c r="F45" s="35">
        <f t="shared" si="14"/>
        <v>-2838</v>
      </c>
      <c r="G45" s="35">
        <f t="shared" si="14"/>
        <v>-3142</v>
      </c>
      <c r="H45" s="35">
        <f t="shared" si="14"/>
        <v>-3605</v>
      </c>
      <c r="I45" s="35">
        <f t="shared" si="14"/>
        <v>-3754</v>
      </c>
      <c r="J45" s="35">
        <f t="shared" si="14"/>
        <v>-1994</v>
      </c>
      <c r="K45" s="35">
        <f t="shared" si="14"/>
        <v>-1607</v>
      </c>
      <c r="L45" s="35">
        <f t="shared" si="14"/>
        <v>-2005</v>
      </c>
      <c r="M45" s="35">
        <f t="shared" si="14"/>
        <v>-1704</v>
      </c>
      <c r="N45" s="35">
        <f t="shared" si="14"/>
        <v>-1815</v>
      </c>
      <c r="O45" s="35">
        <f t="shared" si="14"/>
        <v>-2751</v>
      </c>
      <c r="P45" s="35">
        <f t="shared" si="14"/>
        <v>-6419</v>
      </c>
      <c r="Q45" s="35">
        <f t="shared" si="14"/>
        <v>-5462</v>
      </c>
      <c r="R45" s="35">
        <f t="shared" si="14"/>
        <v>-953</v>
      </c>
      <c r="S45" s="34">
        <f t="shared" si="14"/>
        <v>-1606</v>
      </c>
      <c r="T45" s="102"/>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c r="C48" s="2"/>
      <c r="D48" s="2"/>
      <c r="E48" s="2"/>
      <c r="F48" s="2"/>
      <c r="G48" s="2"/>
      <c r="H48" s="2"/>
      <c r="I48" s="2"/>
      <c r="J48" s="2"/>
      <c r="K48" s="2"/>
      <c r="L48" s="2"/>
      <c r="M48" s="2"/>
      <c r="N48" s="2"/>
      <c r="O48" s="2"/>
      <c r="P48" s="2"/>
      <c r="Q48" s="2"/>
      <c r="R48" s="2"/>
      <c r="S48" s="5"/>
    </row>
    <row r="49" spans="1:19" ht="25.5">
      <c r="A49" s="47" t="s">
        <v>16</v>
      </c>
      <c r="B49" s="2">
        <v>120</v>
      </c>
      <c r="C49" s="2">
        <v>341</v>
      </c>
      <c r="D49" s="2">
        <v>415</v>
      </c>
      <c r="E49" s="2">
        <v>499</v>
      </c>
      <c r="F49" s="2">
        <v>584</v>
      </c>
      <c r="G49" s="2">
        <v>633</v>
      </c>
      <c r="H49" s="2">
        <v>331</v>
      </c>
      <c r="I49" s="2">
        <v>306</v>
      </c>
      <c r="J49" s="2">
        <f>483+20+43+520</f>
        <v>1066</v>
      </c>
      <c r="K49" s="2">
        <f>564+47+107+608</f>
        <v>1326</v>
      </c>
      <c r="L49" s="2">
        <f>49+595+743+683</f>
        <v>2070</v>
      </c>
      <c r="M49" s="2">
        <f>47+815+1110+734</f>
        <v>2706</v>
      </c>
      <c r="N49" s="2">
        <f>32+840+1022+778</f>
        <v>2672</v>
      </c>
      <c r="O49" s="2">
        <f>1317+718+830+41</f>
        <v>2906</v>
      </c>
      <c r="P49" s="2">
        <f>166+760+1747</f>
        <v>2673</v>
      </c>
      <c r="Q49" s="2">
        <f>139+1545+1925</f>
        <v>3609</v>
      </c>
      <c r="R49" s="2">
        <f>2117+850+219</f>
        <v>3186</v>
      </c>
      <c r="S49" s="5">
        <f>181+2504+573</f>
        <v>3258</v>
      </c>
    </row>
    <row r="50" spans="1:19" ht="12.75">
      <c r="A50" s="46" t="s">
        <v>18</v>
      </c>
      <c r="B50" s="29">
        <f aca="true" t="shared" si="15" ref="B50:S50">SUM(B48:B49)</f>
        <v>120</v>
      </c>
      <c r="C50" s="29">
        <f t="shared" si="15"/>
        <v>341</v>
      </c>
      <c r="D50" s="29">
        <f t="shared" si="15"/>
        <v>415</v>
      </c>
      <c r="E50" s="29">
        <f t="shared" si="15"/>
        <v>499</v>
      </c>
      <c r="F50" s="29">
        <f t="shared" si="15"/>
        <v>584</v>
      </c>
      <c r="G50" s="29">
        <f t="shared" si="15"/>
        <v>633</v>
      </c>
      <c r="H50" s="29">
        <f t="shared" si="15"/>
        <v>331</v>
      </c>
      <c r="I50" s="29">
        <f t="shared" si="15"/>
        <v>306</v>
      </c>
      <c r="J50" s="29">
        <f t="shared" si="15"/>
        <v>1066</v>
      </c>
      <c r="K50" s="29">
        <f t="shared" si="15"/>
        <v>1326</v>
      </c>
      <c r="L50" s="29">
        <f t="shared" si="15"/>
        <v>2070</v>
      </c>
      <c r="M50" s="29">
        <f t="shared" si="15"/>
        <v>2706</v>
      </c>
      <c r="N50" s="29">
        <f t="shared" si="15"/>
        <v>2672</v>
      </c>
      <c r="O50" s="29">
        <f t="shared" si="15"/>
        <v>2906</v>
      </c>
      <c r="P50" s="29">
        <f t="shared" si="15"/>
        <v>2673</v>
      </c>
      <c r="Q50" s="29">
        <f t="shared" si="15"/>
        <v>3609</v>
      </c>
      <c r="R50" s="29">
        <f t="shared" si="15"/>
        <v>3186</v>
      </c>
      <c r="S50" s="28">
        <f t="shared" si="15"/>
        <v>3258</v>
      </c>
    </row>
    <row r="51" spans="1:19" ht="12.75">
      <c r="A51" s="51" t="s">
        <v>14</v>
      </c>
      <c r="B51" s="35">
        <f aca="true" t="shared" si="16" ref="B51:I51">B50-B68</f>
        <v>-1481</v>
      </c>
      <c r="C51" s="35">
        <f t="shared" si="16"/>
        <v>-1856</v>
      </c>
      <c r="D51" s="35">
        <f t="shared" si="16"/>
        <v>-2084</v>
      </c>
      <c r="E51" s="35">
        <f t="shared" si="16"/>
        <v>-2359</v>
      </c>
      <c r="F51" s="35">
        <f t="shared" si="16"/>
        <v>-2408</v>
      </c>
      <c r="G51" s="35">
        <f t="shared" si="16"/>
        <v>-2843</v>
      </c>
      <c r="H51" s="35">
        <f t="shared" si="16"/>
        <v>-3183</v>
      </c>
      <c r="I51" s="35">
        <f t="shared" si="16"/>
        <v>-3641</v>
      </c>
      <c r="J51" s="35">
        <f>J50-J68+777</f>
        <v>-1344</v>
      </c>
      <c r="K51" s="35">
        <f>K50-K68+836</f>
        <v>-1140</v>
      </c>
      <c r="L51" s="35">
        <f>L50-L68+964</f>
        <v>-1142</v>
      </c>
      <c r="M51" s="35">
        <f>M50-M68+777</f>
        <v>-771</v>
      </c>
      <c r="N51" s="35">
        <f>N50-N68+939</f>
        <v>-702</v>
      </c>
      <c r="O51" s="35">
        <f>O50-O68+1069</f>
        <v>-941</v>
      </c>
      <c r="P51" s="35">
        <f>P50-P68</f>
        <v>-797</v>
      </c>
      <c r="Q51" s="35">
        <f>Q50-Q68</f>
        <v>-1138</v>
      </c>
      <c r="R51" s="35">
        <f>R50-R68</f>
        <v>-790</v>
      </c>
      <c r="S51" s="34">
        <f>S50-S68</f>
        <v>-551</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17" ref="B54:S54">SUM(B18,B24,B30,B36,B42,B48)</f>
        <v>1820</v>
      </c>
      <c r="C54" s="66">
        <f t="shared" si="17"/>
        <v>1927</v>
      </c>
      <c r="D54" s="66">
        <f t="shared" si="17"/>
        <v>0</v>
      </c>
      <c r="E54" s="66">
        <f t="shared" si="17"/>
        <v>0</v>
      </c>
      <c r="F54" s="66">
        <f t="shared" si="17"/>
        <v>0</v>
      </c>
      <c r="G54" s="66">
        <f t="shared" si="17"/>
        <v>0</v>
      </c>
      <c r="H54" s="66">
        <f t="shared" si="17"/>
        <v>0</v>
      </c>
      <c r="I54" s="66">
        <f t="shared" si="17"/>
        <v>0</v>
      </c>
      <c r="J54" s="66">
        <f t="shared" si="17"/>
        <v>2867</v>
      </c>
      <c r="K54" s="66">
        <f t="shared" si="17"/>
        <v>2882</v>
      </c>
      <c r="L54" s="66">
        <f t="shared" si="17"/>
        <v>3080</v>
      </c>
      <c r="M54" s="66">
        <f t="shared" si="17"/>
        <v>3563</v>
      </c>
      <c r="N54" s="66">
        <f t="shared" si="17"/>
        <v>3984</v>
      </c>
      <c r="O54" s="66">
        <f t="shared" si="17"/>
        <v>3777</v>
      </c>
      <c r="P54" s="66">
        <f t="shared" si="17"/>
        <v>3776</v>
      </c>
      <c r="Q54" s="66">
        <f t="shared" si="17"/>
        <v>4335</v>
      </c>
      <c r="R54" s="66">
        <f t="shared" si="17"/>
        <v>6126</v>
      </c>
      <c r="S54" s="67">
        <f t="shared" si="17"/>
        <v>7042</v>
      </c>
    </row>
    <row r="55" spans="1:19" ht="12.75">
      <c r="A55" s="53" t="s">
        <v>11</v>
      </c>
      <c r="B55" s="22">
        <f aca="true" t="shared" si="18" ref="B55:S55">SUM(B19,B25,B31,B37,B43,B49)</f>
        <v>4425</v>
      </c>
      <c r="C55" s="22">
        <f t="shared" si="18"/>
        <v>5429</v>
      </c>
      <c r="D55" s="22">
        <f t="shared" si="18"/>
        <v>4604</v>
      </c>
      <c r="E55" s="22">
        <f t="shared" si="18"/>
        <v>5096</v>
      </c>
      <c r="F55" s="22">
        <f t="shared" si="18"/>
        <v>5277</v>
      </c>
      <c r="G55" s="22">
        <f t="shared" si="18"/>
        <v>5379</v>
      </c>
      <c r="H55" s="22">
        <f t="shared" si="18"/>
        <v>5639</v>
      </c>
      <c r="I55" s="22">
        <f t="shared" si="18"/>
        <v>5643</v>
      </c>
      <c r="J55" s="22">
        <f t="shared" si="18"/>
        <v>4645</v>
      </c>
      <c r="K55" s="22">
        <f t="shared" si="18"/>
        <v>5365</v>
      </c>
      <c r="L55" s="22">
        <f t="shared" si="18"/>
        <v>6031</v>
      </c>
      <c r="M55" s="22">
        <f t="shared" si="18"/>
        <v>9159</v>
      </c>
      <c r="N55" s="22">
        <f t="shared" si="18"/>
        <v>10281</v>
      </c>
      <c r="O55" s="22">
        <f t="shared" si="18"/>
        <v>10579</v>
      </c>
      <c r="P55" s="22">
        <f t="shared" si="18"/>
        <v>21434</v>
      </c>
      <c r="Q55" s="22">
        <f t="shared" si="18"/>
        <v>17098</v>
      </c>
      <c r="R55" s="22">
        <f t="shared" si="18"/>
        <v>22404</v>
      </c>
      <c r="S55" s="21">
        <f t="shared" si="18"/>
        <v>20767</v>
      </c>
    </row>
    <row r="56" spans="1:19" ht="25.5">
      <c r="A56" s="54" t="s">
        <v>10</v>
      </c>
      <c r="B56" s="20">
        <f aca="true" t="shared" si="19" ref="B56:S56">SUM(B20,B26,B32,B38,B44,B50)</f>
        <v>6245</v>
      </c>
      <c r="C56" s="20">
        <f t="shared" si="19"/>
        <v>7356</v>
      </c>
      <c r="D56" s="20">
        <f t="shared" si="19"/>
        <v>4604</v>
      </c>
      <c r="E56" s="20">
        <f t="shared" si="19"/>
        <v>5096</v>
      </c>
      <c r="F56" s="20">
        <f t="shared" si="19"/>
        <v>5277</v>
      </c>
      <c r="G56" s="20">
        <f t="shared" si="19"/>
        <v>5379</v>
      </c>
      <c r="H56" s="20">
        <f t="shared" si="19"/>
        <v>5639</v>
      </c>
      <c r="I56" s="20">
        <f t="shared" si="19"/>
        <v>5643</v>
      </c>
      <c r="J56" s="20">
        <f t="shared" si="19"/>
        <v>7512</v>
      </c>
      <c r="K56" s="20">
        <f t="shared" si="19"/>
        <v>8247</v>
      </c>
      <c r="L56" s="20">
        <f t="shared" si="19"/>
        <v>9111</v>
      </c>
      <c r="M56" s="20">
        <f t="shared" si="19"/>
        <v>12722</v>
      </c>
      <c r="N56" s="20">
        <f t="shared" si="19"/>
        <v>14265</v>
      </c>
      <c r="O56" s="20">
        <f t="shared" si="19"/>
        <v>14356</v>
      </c>
      <c r="P56" s="20">
        <f t="shared" si="19"/>
        <v>25210</v>
      </c>
      <c r="Q56" s="20">
        <f t="shared" si="19"/>
        <v>21433</v>
      </c>
      <c r="R56" s="20">
        <f t="shared" si="19"/>
        <v>28530</v>
      </c>
      <c r="S56" s="19">
        <f t="shared" si="19"/>
        <v>27809</v>
      </c>
    </row>
    <row r="57" spans="1:19" ht="12.75">
      <c r="A57" s="55" t="s">
        <v>9</v>
      </c>
      <c r="B57" s="71">
        <f aca="true" t="shared" si="20" ref="B57:S57">SUM(B21,B27,B33,B39,B45,B51)</f>
        <v>-2961</v>
      </c>
      <c r="C57" s="71">
        <f t="shared" si="20"/>
        <v>-2186</v>
      </c>
      <c r="D57" s="71">
        <f t="shared" si="20"/>
        <v>-4375</v>
      </c>
      <c r="E57" s="71">
        <f t="shared" si="20"/>
        <v>-4646</v>
      </c>
      <c r="F57" s="71">
        <f t="shared" si="20"/>
        <v>-5248</v>
      </c>
      <c r="G57" s="71">
        <f t="shared" si="20"/>
        <v>-6139</v>
      </c>
      <c r="H57" s="71">
        <f t="shared" si="20"/>
        <v>-6447</v>
      </c>
      <c r="I57" s="71">
        <f t="shared" si="20"/>
        <v>-7124</v>
      </c>
      <c r="J57" s="71">
        <f t="shared" si="20"/>
        <v>-4865</v>
      </c>
      <c r="K57" s="71">
        <f t="shared" si="20"/>
        <v>-4241</v>
      </c>
      <c r="L57" s="71">
        <f t="shared" si="20"/>
        <v>-4182</v>
      </c>
      <c r="M57" s="71">
        <f t="shared" si="20"/>
        <v>-3061</v>
      </c>
      <c r="N57" s="71">
        <f t="shared" si="20"/>
        <v>-2984</v>
      </c>
      <c r="O57" s="71">
        <f t="shared" si="20"/>
        <v>-4643</v>
      </c>
      <c r="P57" s="71">
        <f t="shared" si="20"/>
        <v>-8977</v>
      </c>
      <c r="Q57" s="71">
        <f t="shared" si="20"/>
        <v>-10576</v>
      </c>
      <c r="R57" s="71">
        <f t="shared" si="20"/>
        <v>-3443</v>
      </c>
      <c r="S57" s="18">
        <f t="shared" si="20"/>
        <v>-2060</v>
      </c>
    </row>
    <row r="58" spans="1:19" ht="12.75">
      <c r="A58" s="56" t="s">
        <v>8</v>
      </c>
      <c r="B58" s="17">
        <f aca="true" t="shared" si="21" ref="B58:S58">B59-B55-B15</f>
        <v>1637</v>
      </c>
      <c r="C58" s="17">
        <f t="shared" si="21"/>
        <v>33905</v>
      </c>
      <c r="D58" s="17">
        <f t="shared" si="21"/>
        <v>35586</v>
      </c>
      <c r="E58" s="17">
        <f t="shared" si="21"/>
        <v>33848</v>
      </c>
      <c r="F58" s="17">
        <f t="shared" si="21"/>
        <v>42708</v>
      </c>
      <c r="G58" s="17">
        <f t="shared" si="21"/>
        <v>45268</v>
      </c>
      <c r="H58" s="17">
        <f t="shared" si="21"/>
        <v>50166</v>
      </c>
      <c r="I58" s="17">
        <f t="shared" si="21"/>
        <v>51435</v>
      </c>
      <c r="J58" s="17">
        <f t="shared" si="21"/>
        <v>54400</v>
      </c>
      <c r="K58" s="17">
        <f t="shared" si="21"/>
        <v>71434</v>
      </c>
      <c r="L58" s="17">
        <f t="shared" si="21"/>
        <v>79419</v>
      </c>
      <c r="M58" s="17">
        <f t="shared" si="21"/>
        <v>110486</v>
      </c>
      <c r="N58" s="17">
        <f t="shared" si="21"/>
        <v>145960</v>
      </c>
      <c r="O58" s="17">
        <f t="shared" si="21"/>
        <v>158280</v>
      </c>
      <c r="P58" s="17">
        <f t="shared" si="21"/>
        <v>155105</v>
      </c>
      <c r="Q58" s="17">
        <f t="shared" si="21"/>
        <v>141781</v>
      </c>
      <c r="R58" s="17">
        <f t="shared" si="21"/>
        <v>144852</v>
      </c>
      <c r="S58" s="16">
        <f t="shared" si="21"/>
        <v>163531</v>
      </c>
    </row>
    <row r="59" spans="1:19" ht="12.75">
      <c r="A59" s="57" t="s">
        <v>7</v>
      </c>
      <c r="B59" s="7">
        <v>12620</v>
      </c>
      <c r="C59" s="7">
        <v>45997</v>
      </c>
      <c r="D59" s="7">
        <v>47231</v>
      </c>
      <c r="E59" s="7">
        <v>46321</v>
      </c>
      <c r="F59" s="7">
        <v>53333</v>
      </c>
      <c r="G59" s="7">
        <v>56436</v>
      </c>
      <c r="H59" s="7">
        <v>61984</v>
      </c>
      <c r="I59" s="7">
        <v>63460</v>
      </c>
      <c r="J59" s="7">
        <v>68356</v>
      </c>
      <c r="K59" s="7">
        <v>86339</v>
      </c>
      <c r="L59" s="7">
        <v>95037</v>
      </c>
      <c r="M59" s="7">
        <v>129180</v>
      </c>
      <c r="N59" s="7">
        <v>166481</v>
      </c>
      <c r="O59" s="7">
        <v>180030</v>
      </c>
      <c r="P59" s="7">
        <v>190510</v>
      </c>
      <c r="Q59" s="7">
        <v>173590</v>
      </c>
      <c r="R59" s="7">
        <v>184185</v>
      </c>
      <c r="S59" s="6">
        <v>204074</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c r="C62" s="2">
        <f>122</f>
        <v>122</v>
      </c>
      <c r="D62" s="2">
        <f>57+140</f>
        <v>197</v>
      </c>
      <c r="E62" s="2">
        <f>167+9</f>
        <v>176</v>
      </c>
      <c r="F62" s="2">
        <f>176</f>
        <v>176</v>
      </c>
      <c r="G62" s="2">
        <f>176</f>
        <v>176</v>
      </c>
      <c r="H62" s="2">
        <f>187</f>
        <v>187</v>
      </c>
      <c r="I62" s="2">
        <v>180</v>
      </c>
      <c r="J62" s="2">
        <f>220+414</f>
        <v>634</v>
      </c>
      <c r="K62" s="2">
        <f>192+411+698</f>
        <v>1301</v>
      </c>
      <c r="L62" s="2">
        <f>192+404+276</f>
        <v>872</v>
      </c>
      <c r="M62" s="2">
        <f>238+686+1040</f>
        <v>1964</v>
      </c>
      <c r="N62" s="2">
        <f>227+778+1358</f>
        <v>2363</v>
      </c>
      <c r="O62" s="2">
        <f>244+874+1915</f>
        <v>3033</v>
      </c>
      <c r="P62" s="2">
        <f>674+587+1437</f>
        <v>2698</v>
      </c>
      <c r="Q62" s="2">
        <f>683+710+1674</f>
        <v>3067</v>
      </c>
      <c r="R62" s="2">
        <f>1735+626+584</f>
        <v>2945</v>
      </c>
      <c r="S62" s="5">
        <f>681+831+1834</f>
        <v>3346</v>
      </c>
    </row>
    <row r="63" spans="1:19" ht="12.75">
      <c r="A63" s="58" t="s">
        <v>37</v>
      </c>
      <c r="B63" s="91">
        <v>826</v>
      </c>
      <c r="C63" s="15">
        <f>252</f>
        <v>252</v>
      </c>
      <c r="D63" s="15">
        <f>256</f>
        <v>256</v>
      </c>
      <c r="E63" s="15">
        <v>395</v>
      </c>
      <c r="F63" s="15">
        <v>410</v>
      </c>
      <c r="G63" s="15">
        <f>489</f>
        <v>489</v>
      </c>
      <c r="H63" s="15">
        <v>611</v>
      </c>
      <c r="I63" s="15">
        <v>681</v>
      </c>
      <c r="J63" s="15">
        <v>743</v>
      </c>
      <c r="K63" s="15">
        <v>700</v>
      </c>
      <c r="L63" s="15">
        <v>940</v>
      </c>
      <c r="M63" s="15">
        <v>1969</v>
      </c>
      <c r="N63" s="15">
        <f>2723</f>
        <v>2723</v>
      </c>
      <c r="O63" s="15">
        <f>3355</f>
        <v>3355</v>
      </c>
      <c r="P63" s="15">
        <v>4855</v>
      </c>
      <c r="Q63" s="15">
        <v>5765</v>
      </c>
      <c r="R63" s="15">
        <v>6727</v>
      </c>
      <c r="S63" s="14">
        <v>7715</v>
      </c>
    </row>
    <row r="64" spans="1:19" ht="25.5" hidden="1" outlineLevel="1">
      <c r="A64" s="118" t="s">
        <v>52</v>
      </c>
      <c r="B64" s="119"/>
      <c r="C64" s="119"/>
      <c r="D64" s="119"/>
      <c r="E64" s="119"/>
      <c r="F64" s="119"/>
      <c r="G64" s="119"/>
      <c r="H64" s="119"/>
      <c r="I64" s="119"/>
      <c r="J64" s="119"/>
      <c r="K64" s="119"/>
      <c r="L64" s="119"/>
      <c r="M64" s="119"/>
      <c r="N64" s="119"/>
      <c r="O64" s="119"/>
      <c r="P64" s="119"/>
      <c r="Q64" s="119"/>
      <c r="R64" s="119"/>
      <c r="S64" s="122"/>
    </row>
    <row r="65" spans="1:19" ht="12.75" customHeight="1" hidden="1" outlineLevel="1">
      <c r="A65" s="60" t="s">
        <v>5</v>
      </c>
      <c r="B65" s="11"/>
      <c r="C65" s="11"/>
      <c r="D65" s="11"/>
      <c r="E65" s="11"/>
      <c r="F65" s="11"/>
      <c r="G65" s="11"/>
      <c r="H65" s="11"/>
      <c r="I65" s="11"/>
      <c r="J65" s="11"/>
      <c r="K65" s="11"/>
      <c r="L65" s="11"/>
      <c r="M65" s="11"/>
      <c r="N65" s="11"/>
      <c r="O65" s="11"/>
      <c r="P65" s="11"/>
      <c r="Q65" s="11"/>
      <c r="R65" s="11"/>
      <c r="S65" s="10"/>
    </row>
    <row r="66" spans="1:19" ht="12.75" collapsed="1">
      <c r="A66" s="118" t="s">
        <v>42</v>
      </c>
      <c r="B66" s="119">
        <v>5497</v>
      </c>
      <c r="C66" s="119">
        <v>4308</v>
      </c>
      <c r="D66" s="119">
        <v>2490</v>
      </c>
      <c r="E66" s="119">
        <v>2606</v>
      </c>
      <c r="F66" s="119">
        <v>2784</v>
      </c>
      <c r="G66" s="119">
        <v>3227</v>
      </c>
      <c r="H66" s="119">
        <v>3135</v>
      </c>
      <c r="I66" s="119">
        <v>3126</v>
      </c>
      <c r="J66" s="119">
        <v>5007</v>
      </c>
      <c r="K66" s="119">
        <f>711+3837+573</f>
        <v>5121</v>
      </c>
      <c r="L66" s="119">
        <f>820+3572+487</f>
        <v>4879</v>
      </c>
      <c r="M66" s="119">
        <f>3890+897+598</f>
        <v>5385</v>
      </c>
      <c r="N66" s="119">
        <f>1286+3989+519</f>
        <v>5794</v>
      </c>
      <c r="O66" s="119">
        <f>1111+4215+598</f>
        <v>5924</v>
      </c>
      <c r="P66" s="119">
        <v>13636</v>
      </c>
      <c r="Q66" s="119">
        <v>9594</v>
      </c>
      <c r="R66" s="119">
        <v>8663</v>
      </c>
      <c r="S66" s="122">
        <v>6990</v>
      </c>
    </row>
    <row r="67" spans="1:19" ht="13.5" customHeight="1">
      <c r="A67" s="117" t="s">
        <v>50</v>
      </c>
      <c r="B67" s="120">
        <f>2108</f>
        <v>2108</v>
      </c>
      <c r="C67" s="120">
        <f>129+232+2676</f>
        <v>3037</v>
      </c>
      <c r="D67" s="120">
        <f>561+3429</f>
        <v>3990</v>
      </c>
      <c r="E67" s="120">
        <f>804+3474</f>
        <v>4278</v>
      </c>
      <c r="F67" s="120">
        <f>674+4075</f>
        <v>4749</v>
      </c>
      <c r="G67" s="120">
        <f>464+4351</f>
        <v>4815</v>
      </c>
      <c r="H67" s="120">
        <f>750+4687</f>
        <v>5437</v>
      </c>
      <c r="I67" s="120">
        <f>737+4957</f>
        <v>5694</v>
      </c>
      <c r="J67" s="120">
        <f>2730+1821+409</f>
        <v>4960</v>
      </c>
      <c r="K67" s="120">
        <f>2733+1792+376</f>
        <v>4901</v>
      </c>
      <c r="L67" s="120">
        <f>2824+1738+640</f>
        <v>5202</v>
      </c>
      <c r="M67" s="120">
        <f>1860+741+1190+3130</f>
        <v>6921</v>
      </c>
      <c r="N67" s="120">
        <f>3131+2067+1640+1243</f>
        <v>8081</v>
      </c>
      <c r="O67" s="120">
        <f>3234+2060+2849+1085</f>
        <v>9228</v>
      </c>
      <c r="P67" s="120">
        <v>17081</v>
      </c>
      <c r="Q67" s="120">
        <v>17668</v>
      </c>
      <c r="R67" s="120">
        <v>19334</v>
      </c>
      <c r="S67" s="123">
        <v>19070</v>
      </c>
    </row>
    <row r="68" spans="1:19" ht="12.75">
      <c r="A68" s="117" t="s">
        <v>41</v>
      </c>
      <c r="B68" s="119">
        <v>1601</v>
      </c>
      <c r="C68" s="119">
        <v>2197</v>
      </c>
      <c r="D68" s="119">
        <v>2499</v>
      </c>
      <c r="E68" s="119">
        <f>2858</f>
        <v>2858</v>
      </c>
      <c r="F68" s="119">
        <v>2992</v>
      </c>
      <c r="G68" s="119">
        <v>3476</v>
      </c>
      <c r="H68" s="119">
        <v>3514</v>
      </c>
      <c r="I68" s="119">
        <v>3947</v>
      </c>
      <c r="J68" s="119">
        <f>1173+1237+777</f>
        <v>3187</v>
      </c>
      <c r="K68" s="119">
        <f>1157+1309+836</f>
        <v>3302</v>
      </c>
      <c r="L68" s="119">
        <f>1217+1995+964</f>
        <v>4176</v>
      </c>
      <c r="M68" s="119">
        <f>1201+2276+777</f>
        <v>4254</v>
      </c>
      <c r="N68" s="119">
        <f>939+2136+1238</f>
        <v>4313</v>
      </c>
      <c r="O68" s="119">
        <f>1069+2520+1327</f>
        <v>4916</v>
      </c>
      <c r="P68" s="119">
        <v>3470</v>
      </c>
      <c r="Q68" s="119">
        <v>4747</v>
      </c>
      <c r="R68" s="119">
        <v>3976</v>
      </c>
      <c r="S68" s="122">
        <v>3809</v>
      </c>
    </row>
    <row r="69" spans="1:19" ht="51">
      <c r="A69" s="61" t="s">
        <v>4</v>
      </c>
      <c r="B69" s="9">
        <f>B71</f>
        <v>1057</v>
      </c>
      <c r="C69" s="9">
        <f>11996-SUM(C62:C68)</f>
        <v>2080</v>
      </c>
      <c r="D69" s="9">
        <f>13529-SUM(D62:D68)</f>
        <v>4097</v>
      </c>
      <c r="E69" s="9">
        <f>11895-SUM(E62:E68)</f>
        <v>1582</v>
      </c>
      <c r="F69" s="9">
        <f>12967-SUM(F62:F68)</f>
        <v>1856</v>
      </c>
      <c r="G69" s="9">
        <f>14734-SUM(G62:G68)</f>
        <v>2551</v>
      </c>
      <c r="H69" s="9">
        <f>15095-SUM(H62:H68)</f>
        <v>2211</v>
      </c>
      <c r="I69" s="9">
        <f>16165-SUM(I62:I68)</f>
        <v>2537</v>
      </c>
      <c r="J69" s="9">
        <f>20247-SUM(J62:J68)</f>
        <v>5716</v>
      </c>
      <c r="K69" s="9">
        <f>18915-SUM(K62:K68)</f>
        <v>3590</v>
      </c>
      <c r="L69" s="9">
        <f>20278-SUM(L62:L68)</f>
        <v>4209</v>
      </c>
      <c r="M69" s="9">
        <f>24424-SUM(M62:M68)</f>
        <v>3931</v>
      </c>
      <c r="N69" s="9">
        <f>28239-SUM(N62:N68)</f>
        <v>4965</v>
      </c>
      <c r="O69" s="9">
        <f>32385-SUM(O62:O68)</f>
        <v>5929</v>
      </c>
      <c r="P69" s="9">
        <f>47267-SUM(P62:P68)</f>
        <v>5527</v>
      </c>
      <c r="Q69" s="9">
        <f>47368-SUM(Q62:Q68)</f>
        <v>6527</v>
      </c>
      <c r="R69" s="9">
        <f>47480-SUM(R62:R68)</f>
        <v>5835</v>
      </c>
      <c r="S69" s="8">
        <f>127540-SUM(S62:S68)</f>
        <v>86610</v>
      </c>
    </row>
    <row r="70" spans="1:19" ht="25.5">
      <c r="A70" s="61" t="s">
        <v>3</v>
      </c>
      <c r="B70" s="9">
        <v>0</v>
      </c>
      <c r="C70" s="9">
        <f>C72-11996</f>
        <v>22274</v>
      </c>
      <c r="D70" s="9">
        <f>D72-13529</f>
        <v>24164</v>
      </c>
      <c r="E70" s="9">
        <f>E72-11895</f>
        <v>26086</v>
      </c>
      <c r="F70" s="9">
        <f>F72-12967</f>
        <v>29759</v>
      </c>
      <c r="G70" s="9">
        <f>G72-14734</f>
        <v>30091</v>
      </c>
      <c r="H70" s="9">
        <f>H72-15095</f>
        <v>31337</v>
      </c>
      <c r="I70" s="9">
        <f>I72-16165</f>
        <v>32229</v>
      </c>
      <c r="J70" s="9">
        <f>J72-20247</f>
        <v>30769</v>
      </c>
      <c r="K70" s="9">
        <f>K72-18915</f>
        <v>42626</v>
      </c>
      <c r="L70" s="9">
        <f>L71-20278</f>
        <v>30818</v>
      </c>
      <c r="M70" s="9">
        <f>M72-24424</f>
        <v>74141</v>
      </c>
      <c r="N70" s="9">
        <f>N72-28239</f>
        <v>107002</v>
      </c>
      <c r="O70" s="9">
        <f>O74-32385</f>
        <v>577658</v>
      </c>
      <c r="P70" s="9">
        <f>P72-47267</f>
        <v>103038</v>
      </c>
      <c r="Q70" s="9">
        <f>Q72-47368</f>
        <v>83726</v>
      </c>
      <c r="R70" s="9">
        <f>R72-47480</f>
        <v>93273</v>
      </c>
      <c r="S70" s="8">
        <f>S72-127540</f>
        <v>36533</v>
      </c>
    </row>
    <row r="71" spans="1:19" ht="63.75">
      <c r="A71" s="47" t="s">
        <v>2</v>
      </c>
      <c r="B71" s="74">
        <f aca="true" t="shared" si="22" ref="B71:S71">B72-SUM(B62:B68)</f>
        <v>1057</v>
      </c>
      <c r="C71" s="74">
        <f t="shared" si="22"/>
        <v>24354</v>
      </c>
      <c r="D71" s="74">
        <f t="shared" si="22"/>
        <v>28261</v>
      </c>
      <c r="E71" s="74">
        <f t="shared" si="22"/>
        <v>27668</v>
      </c>
      <c r="F71" s="74">
        <f t="shared" si="22"/>
        <v>31615</v>
      </c>
      <c r="G71" s="74">
        <f t="shared" si="22"/>
        <v>32642</v>
      </c>
      <c r="H71" s="74">
        <f t="shared" si="22"/>
        <v>33548</v>
      </c>
      <c r="I71" s="74">
        <f t="shared" si="22"/>
        <v>34766</v>
      </c>
      <c r="J71" s="74">
        <f t="shared" si="22"/>
        <v>36485</v>
      </c>
      <c r="K71" s="74">
        <f t="shared" si="22"/>
        <v>46216</v>
      </c>
      <c r="L71" s="74">
        <f t="shared" si="22"/>
        <v>51096</v>
      </c>
      <c r="M71" s="74">
        <f t="shared" si="22"/>
        <v>78072</v>
      </c>
      <c r="N71" s="74">
        <f t="shared" si="22"/>
        <v>111967</v>
      </c>
      <c r="O71" s="74">
        <f t="shared" si="22"/>
        <v>111304</v>
      </c>
      <c r="P71" s="74">
        <f t="shared" si="22"/>
        <v>108565</v>
      </c>
      <c r="Q71" s="74">
        <f t="shared" si="22"/>
        <v>90253</v>
      </c>
      <c r="R71" s="74">
        <f t="shared" si="22"/>
        <v>99108</v>
      </c>
      <c r="S71" s="75">
        <f t="shared" si="22"/>
        <v>123143</v>
      </c>
    </row>
    <row r="72" spans="1:19" ht="12.75">
      <c r="A72" s="57" t="s">
        <v>1</v>
      </c>
      <c r="B72" s="7">
        <v>11089</v>
      </c>
      <c r="C72" s="7">
        <v>34270</v>
      </c>
      <c r="D72" s="7">
        <v>37693</v>
      </c>
      <c r="E72" s="7">
        <v>37981</v>
      </c>
      <c r="F72" s="7">
        <v>42726</v>
      </c>
      <c r="G72" s="7">
        <v>44825</v>
      </c>
      <c r="H72" s="7">
        <v>46432</v>
      </c>
      <c r="I72" s="7">
        <f>48394</f>
        <v>48394</v>
      </c>
      <c r="J72" s="7">
        <v>51016</v>
      </c>
      <c r="K72" s="7">
        <v>61541</v>
      </c>
      <c r="L72" s="7">
        <f>67165</f>
        <v>67165</v>
      </c>
      <c r="M72" s="7">
        <v>98565</v>
      </c>
      <c r="N72" s="7">
        <v>135241</v>
      </c>
      <c r="O72" s="7">
        <v>137760</v>
      </c>
      <c r="P72" s="7">
        <v>150305</v>
      </c>
      <c r="Q72" s="7">
        <v>131094</v>
      </c>
      <c r="R72" s="7">
        <v>140753</v>
      </c>
      <c r="S72" s="6">
        <v>164073</v>
      </c>
    </row>
    <row r="73" spans="1:19" ht="12.75">
      <c r="A73" s="47"/>
      <c r="B73" s="2"/>
      <c r="C73" s="2"/>
      <c r="D73" s="2"/>
      <c r="E73" s="2"/>
      <c r="F73" s="2"/>
      <c r="G73" s="2"/>
      <c r="H73" s="2"/>
      <c r="I73" s="2"/>
      <c r="J73" s="2"/>
      <c r="K73" s="2"/>
      <c r="L73" s="2"/>
      <c r="M73" s="2"/>
      <c r="N73" s="2"/>
      <c r="O73" s="2"/>
      <c r="P73" s="2"/>
      <c r="Q73" s="2"/>
      <c r="R73" s="2"/>
      <c r="S73" s="5"/>
    </row>
    <row r="74" spans="1:19" ht="12.75">
      <c r="A74" s="62" t="s">
        <v>0</v>
      </c>
      <c r="B74" s="129">
        <v>54668</v>
      </c>
      <c r="C74" s="129">
        <v>62594</v>
      </c>
      <c r="D74" s="129">
        <v>90683</v>
      </c>
      <c r="E74" s="4">
        <v>141726</v>
      </c>
      <c r="F74" s="4">
        <v>142253</v>
      </c>
      <c r="G74" s="4">
        <v>203753</v>
      </c>
      <c r="H74" s="4">
        <v>209829</v>
      </c>
      <c r="I74" s="4">
        <v>213686</v>
      </c>
      <c r="J74" s="4">
        <v>377386</v>
      </c>
      <c r="K74" s="4">
        <v>377799</v>
      </c>
      <c r="L74" s="4">
        <v>392080</v>
      </c>
      <c r="M74" s="4">
        <v>398945</v>
      </c>
      <c r="N74" s="4">
        <v>405263</v>
      </c>
      <c r="O74" s="4">
        <v>610043</v>
      </c>
      <c r="P74" s="4">
        <v>636984</v>
      </c>
      <c r="Q74" s="4">
        <v>654885</v>
      </c>
      <c r="R74" s="4">
        <v>873484</v>
      </c>
      <c r="S74" s="3">
        <v>924417</v>
      </c>
    </row>
    <row r="77" ht="12.75"/>
    <row r="78" ht="12.75"/>
    <row r="79" ht="12.75"/>
  </sheetData>
  <sheetProtection/>
  <mergeCells count="1">
    <mergeCell ref="B1:S1"/>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pane xSplit="1" ySplit="2" topLeftCell="B38" activePane="bottomRight" state="frozen"/>
      <selection pane="topLeft" activeCell="H29" sqref="H29"/>
      <selection pane="topRight" activeCell="H29" sqref="H29"/>
      <selection pane="bottomLeft" activeCell="H29" sqref="H29"/>
      <selection pane="bottomRight" activeCell="U30" sqref="U30"/>
    </sheetView>
  </sheetViews>
  <sheetFormatPr defaultColWidth="9.140625" defaultRowHeight="15" outlineLevelRow="1"/>
  <cols>
    <col min="1" max="1" width="32.421875" style="2" customWidth="1"/>
    <col min="2" max="8" width="9.140625" style="1" customWidth="1"/>
    <col min="9" max="9" width="9.57421875" style="1" bestFit="1" customWidth="1"/>
    <col min="10" max="10" width="9.140625" style="1" customWidth="1"/>
    <col min="11" max="11" width="11.140625" style="1" bestFit="1" customWidth="1"/>
    <col min="12" max="16384" width="9.140625" style="1" customWidth="1"/>
  </cols>
  <sheetData>
    <row r="1" spans="1:19" ht="12.75">
      <c r="A1" s="21"/>
      <c r="B1" s="482" t="s">
        <v>64</v>
      </c>
      <c r="C1" s="483"/>
      <c r="D1" s="483"/>
      <c r="E1" s="483"/>
      <c r="F1" s="483"/>
      <c r="G1" s="483"/>
      <c r="H1" s="483"/>
      <c r="I1" s="483"/>
      <c r="J1" s="483"/>
      <c r="K1" s="483"/>
      <c r="L1" s="483"/>
      <c r="M1" s="483"/>
      <c r="N1" s="483"/>
      <c r="O1" s="483"/>
      <c r="P1" s="483"/>
      <c r="Q1" s="483"/>
      <c r="R1" s="483"/>
      <c r="S1" s="484"/>
    </row>
    <row r="2" spans="1:19" ht="12.75">
      <c r="A2" s="43"/>
      <c r="B2" s="88">
        <v>1991</v>
      </c>
      <c r="C2" s="84">
        <v>1992</v>
      </c>
      <c r="D2" s="88">
        <v>1993</v>
      </c>
      <c r="E2" s="88">
        <v>1994</v>
      </c>
      <c r="F2" s="88">
        <v>1995</v>
      </c>
      <c r="G2" s="88">
        <v>1996</v>
      </c>
      <c r="H2" s="88">
        <v>1997</v>
      </c>
      <c r="I2" s="44">
        <v>1998</v>
      </c>
      <c r="J2" s="44">
        <v>1999</v>
      </c>
      <c r="K2" s="44">
        <v>2000</v>
      </c>
      <c r="L2" s="44">
        <v>2001</v>
      </c>
      <c r="M2" s="44">
        <v>2002</v>
      </c>
      <c r="N2" s="44">
        <v>2003</v>
      </c>
      <c r="O2" s="44">
        <v>2004</v>
      </c>
      <c r="P2" s="44">
        <v>2005</v>
      </c>
      <c r="Q2" s="44">
        <v>2006</v>
      </c>
      <c r="R2" s="44">
        <v>2007</v>
      </c>
      <c r="S2" s="43">
        <v>2008</v>
      </c>
    </row>
    <row r="3" spans="1:19" ht="12.75">
      <c r="A3" s="45" t="s">
        <v>32</v>
      </c>
      <c r="B3" s="44" t="s">
        <v>31</v>
      </c>
      <c r="C3" s="44" t="s">
        <v>31</v>
      </c>
      <c r="D3" s="44" t="s">
        <v>31</v>
      </c>
      <c r="E3" s="44" t="s">
        <v>31</v>
      </c>
      <c r="F3" s="44" t="s">
        <v>31</v>
      </c>
      <c r="G3" s="44" t="s">
        <v>31</v>
      </c>
      <c r="H3" s="44" t="s">
        <v>31</v>
      </c>
      <c r="I3" s="44" t="s">
        <v>31</v>
      </c>
      <c r="J3" s="44" t="s">
        <v>31</v>
      </c>
      <c r="K3" s="44" t="s">
        <v>31</v>
      </c>
      <c r="L3" s="44" t="s">
        <v>31</v>
      </c>
      <c r="M3" s="44" t="s">
        <v>31</v>
      </c>
      <c r="N3" s="44" t="s">
        <v>31</v>
      </c>
      <c r="O3" s="44" t="s">
        <v>31</v>
      </c>
      <c r="P3" s="44" t="s">
        <v>31</v>
      </c>
      <c r="Q3" s="44" t="s">
        <v>31</v>
      </c>
      <c r="R3" s="44" t="s">
        <v>31</v>
      </c>
      <c r="S3" s="43" t="s">
        <v>31</v>
      </c>
    </row>
    <row r="4" spans="1:19" ht="12.75">
      <c r="A4" s="46" t="s">
        <v>30</v>
      </c>
      <c r="B4" s="42"/>
      <c r="C4" s="42"/>
      <c r="D4" s="42"/>
      <c r="E4" s="42"/>
      <c r="F4" s="42"/>
      <c r="G4" s="42"/>
      <c r="H4" s="42"/>
      <c r="I4" s="42"/>
      <c r="J4" s="42"/>
      <c r="K4" s="42"/>
      <c r="L4" s="42"/>
      <c r="M4" s="42"/>
      <c r="N4" s="42"/>
      <c r="O4" s="42"/>
      <c r="P4" s="42"/>
      <c r="Q4" s="42"/>
      <c r="R4" s="42"/>
      <c r="S4" s="28"/>
    </row>
    <row r="5" spans="1:19" ht="12.75">
      <c r="A5" s="47" t="s">
        <v>29</v>
      </c>
      <c r="B5" s="2">
        <v>14503</v>
      </c>
      <c r="C5" s="2">
        <v>14304</v>
      </c>
      <c r="D5" s="2">
        <v>14788</v>
      </c>
      <c r="E5" s="2">
        <v>15356</v>
      </c>
      <c r="F5" s="2">
        <v>15703</v>
      </c>
      <c r="G5" s="2">
        <v>16271</v>
      </c>
      <c r="H5" s="2">
        <v>15855</v>
      </c>
      <c r="I5" s="2">
        <v>16215</v>
      </c>
      <c r="J5" s="2">
        <v>16717</v>
      </c>
      <c r="K5" s="2">
        <v>16945</v>
      </c>
      <c r="L5" s="2">
        <v>17871</v>
      </c>
      <c r="M5" s="2">
        <v>19929</v>
      </c>
      <c r="N5" s="2">
        <v>21563</v>
      </c>
      <c r="O5" s="2">
        <v>23065</v>
      </c>
      <c r="P5" s="2">
        <v>24635</v>
      </c>
      <c r="Q5" s="2">
        <v>26755</v>
      </c>
      <c r="R5" s="2">
        <v>32406</v>
      </c>
      <c r="S5" s="5">
        <v>34540</v>
      </c>
    </row>
    <row r="6" spans="1:19" ht="12.75">
      <c r="A6" s="47" t="s">
        <v>28</v>
      </c>
      <c r="B6" s="2"/>
      <c r="C6" s="2"/>
      <c r="D6" s="2"/>
      <c r="E6" s="2"/>
      <c r="F6" s="2"/>
      <c r="G6" s="2"/>
      <c r="H6" s="2"/>
      <c r="I6" s="2"/>
      <c r="J6" s="2"/>
      <c r="K6" s="2"/>
      <c r="L6" s="2"/>
      <c r="M6" s="2"/>
      <c r="N6" s="2"/>
      <c r="O6" s="2"/>
      <c r="P6" s="2"/>
      <c r="Q6" s="2"/>
      <c r="R6" s="2"/>
      <c r="S6" s="5"/>
    </row>
    <row r="7" spans="1:19" ht="12.75">
      <c r="A7" s="47" t="s">
        <v>27</v>
      </c>
      <c r="B7" s="2">
        <f aca="true" t="shared" si="0" ref="B7:S7">B18</f>
        <v>0</v>
      </c>
      <c r="C7" s="2">
        <f t="shared" si="0"/>
        <v>0</v>
      </c>
      <c r="D7" s="2"/>
      <c r="E7" s="2"/>
      <c r="F7" s="2"/>
      <c r="G7" s="2"/>
      <c r="H7" s="2"/>
      <c r="I7" s="2"/>
      <c r="J7" s="2"/>
      <c r="K7" s="2"/>
      <c r="L7" s="2"/>
      <c r="M7" s="2">
        <f t="shared" si="0"/>
        <v>0</v>
      </c>
      <c r="N7" s="2">
        <f t="shared" si="0"/>
        <v>0</v>
      </c>
      <c r="O7" s="2">
        <f t="shared" si="0"/>
        <v>0</v>
      </c>
      <c r="P7" s="2">
        <f t="shared" si="0"/>
        <v>0</v>
      </c>
      <c r="Q7" s="2">
        <f t="shared" si="0"/>
        <v>0</v>
      </c>
      <c r="R7" s="2">
        <f t="shared" si="0"/>
        <v>0</v>
      </c>
      <c r="S7" s="5">
        <f t="shared" si="0"/>
        <v>0</v>
      </c>
    </row>
    <row r="8" spans="1:19" ht="12.75">
      <c r="A8" s="47" t="s">
        <v>26</v>
      </c>
      <c r="B8" s="2">
        <f aca="true" t="shared" si="1" ref="B8:S8">B24</f>
        <v>0</v>
      </c>
      <c r="C8" s="2">
        <f t="shared" si="1"/>
        <v>0</v>
      </c>
      <c r="D8" s="2"/>
      <c r="E8" s="2"/>
      <c r="F8" s="2"/>
      <c r="G8" s="2"/>
      <c r="H8" s="2"/>
      <c r="I8" s="2"/>
      <c r="J8" s="2"/>
      <c r="K8" s="2"/>
      <c r="L8" s="2"/>
      <c r="M8" s="2">
        <f t="shared" si="1"/>
        <v>0</v>
      </c>
      <c r="N8" s="2">
        <f t="shared" si="1"/>
        <v>0</v>
      </c>
      <c r="O8" s="2">
        <f t="shared" si="1"/>
        <v>0</v>
      </c>
      <c r="P8" s="2">
        <f t="shared" si="1"/>
        <v>0</v>
      </c>
      <c r="Q8" s="2">
        <f t="shared" si="1"/>
        <v>0</v>
      </c>
      <c r="R8" s="2">
        <f t="shared" si="1"/>
        <v>0</v>
      </c>
      <c r="S8" s="5">
        <f t="shared" si="1"/>
        <v>0</v>
      </c>
    </row>
    <row r="9" spans="1:19" ht="12.75">
      <c r="A9" s="59" t="s">
        <v>35</v>
      </c>
      <c r="B9" s="78">
        <f aca="true" t="shared" si="2" ref="B9:S9">B36</f>
        <v>2842</v>
      </c>
      <c r="C9" s="78">
        <f t="shared" si="2"/>
        <v>3041</v>
      </c>
      <c r="D9" s="78">
        <f t="shared" si="2"/>
        <v>3515</v>
      </c>
      <c r="E9" s="78">
        <f t="shared" si="2"/>
        <v>4013</v>
      </c>
      <c r="F9" s="13">
        <f t="shared" si="2"/>
        <v>4546</v>
      </c>
      <c r="G9" s="13">
        <f t="shared" si="2"/>
        <v>5051</v>
      </c>
      <c r="H9" s="13">
        <f t="shared" si="2"/>
        <v>5138</v>
      </c>
      <c r="I9" s="13">
        <f t="shared" si="2"/>
        <v>5186</v>
      </c>
      <c r="J9" s="13">
        <f t="shared" si="2"/>
        <v>5303</v>
      </c>
      <c r="K9" s="13">
        <f t="shared" si="2"/>
        <v>5248</v>
      </c>
      <c r="L9" s="13">
        <f t="shared" si="2"/>
        <v>4964</v>
      </c>
      <c r="M9" s="13">
        <f t="shared" si="2"/>
        <v>4640</v>
      </c>
      <c r="N9" s="13">
        <f t="shared" si="2"/>
        <v>4536</v>
      </c>
      <c r="O9" s="13">
        <f t="shared" si="2"/>
        <v>4795</v>
      </c>
      <c r="P9" s="13">
        <f t="shared" si="2"/>
        <v>4857</v>
      </c>
      <c r="Q9" s="13">
        <f t="shared" si="2"/>
        <v>4882</v>
      </c>
      <c r="R9" s="13">
        <f t="shared" si="2"/>
        <v>5053</v>
      </c>
      <c r="S9" s="12">
        <f t="shared" si="2"/>
        <v>5131</v>
      </c>
    </row>
    <row r="10" spans="1:20" ht="12.75">
      <c r="A10" s="59" t="s">
        <v>43</v>
      </c>
      <c r="B10" s="78">
        <f aca="true" t="shared" si="3" ref="B10:S10">B48</f>
        <v>2139</v>
      </c>
      <c r="C10" s="78">
        <f t="shared" si="3"/>
        <v>1812</v>
      </c>
      <c r="D10" s="78">
        <f t="shared" si="3"/>
        <v>1644</v>
      </c>
      <c r="E10" s="78">
        <f t="shared" si="3"/>
        <v>765</v>
      </c>
      <c r="F10" s="13">
        <f t="shared" si="3"/>
        <v>769</v>
      </c>
      <c r="G10" s="13">
        <f t="shared" si="3"/>
        <v>831</v>
      </c>
      <c r="H10" s="13">
        <f t="shared" si="3"/>
        <v>1516</v>
      </c>
      <c r="I10" s="13">
        <f t="shared" si="3"/>
        <v>1915</v>
      </c>
      <c r="J10" s="13">
        <f t="shared" si="3"/>
        <v>1654</v>
      </c>
      <c r="K10" s="13">
        <f t="shared" si="3"/>
        <v>1546</v>
      </c>
      <c r="L10" s="13">
        <f t="shared" si="3"/>
        <v>1484</v>
      </c>
      <c r="M10" s="13">
        <f t="shared" si="3"/>
        <v>1265</v>
      </c>
      <c r="N10" s="13">
        <f t="shared" si="3"/>
        <v>1310</v>
      </c>
      <c r="O10" s="13">
        <f t="shared" si="3"/>
        <v>1376</v>
      </c>
      <c r="P10" s="13">
        <f t="shared" si="3"/>
        <v>1830</v>
      </c>
      <c r="Q10" s="13">
        <f t="shared" si="3"/>
        <v>1857</v>
      </c>
      <c r="R10" s="13">
        <f t="shared" si="3"/>
        <v>2029</v>
      </c>
      <c r="S10" s="12">
        <f t="shared" si="3"/>
        <v>1780</v>
      </c>
      <c r="T10" s="130"/>
    </row>
    <row r="11" spans="1:19" ht="12.75">
      <c r="A11" s="59" t="s">
        <v>44</v>
      </c>
      <c r="B11" s="78">
        <f aca="true" t="shared" si="4" ref="B11:S11">B42</f>
        <v>0</v>
      </c>
      <c r="C11" s="78">
        <f t="shared" si="4"/>
        <v>39</v>
      </c>
      <c r="D11" s="78"/>
      <c r="E11" s="78"/>
      <c r="F11" s="13"/>
      <c r="G11" s="13"/>
      <c r="H11" s="13"/>
      <c r="I11" s="13"/>
      <c r="J11" s="13"/>
      <c r="K11" s="13"/>
      <c r="L11" s="13"/>
      <c r="M11" s="13">
        <f t="shared" si="4"/>
        <v>0</v>
      </c>
      <c r="N11" s="13">
        <f t="shared" si="4"/>
        <v>2907</v>
      </c>
      <c r="O11" s="13">
        <f t="shared" si="4"/>
        <v>4471</v>
      </c>
      <c r="P11" s="13">
        <f t="shared" si="4"/>
        <v>4702</v>
      </c>
      <c r="Q11" s="13">
        <f t="shared" si="4"/>
        <v>4766</v>
      </c>
      <c r="R11" s="13">
        <f t="shared" si="4"/>
        <v>5123</v>
      </c>
      <c r="S11" s="12">
        <f t="shared" si="4"/>
        <v>5264</v>
      </c>
    </row>
    <row r="12" spans="1:19" ht="12.75">
      <c r="A12" s="47" t="s">
        <v>25</v>
      </c>
      <c r="B12" s="2">
        <f aca="true" t="shared" si="5" ref="B12:S12">B30</f>
        <v>0</v>
      </c>
      <c r="C12" s="2">
        <f t="shared" si="5"/>
        <v>0</v>
      </c>
      <c r="D12" s="2"/>
      <c r="E12" s="2"/>
      <c r="F12" s="2"/>
      <c r="G12" s="2"/>
      <c r="H12" s="2"/>
      <c r="I12" s="2"/>
      <c r="J12" s="2"/>
      <c r="K12" s="2"/>
      <c r="L12" s="2"/>
      <c r="M12" s="2">
        <f t="shared" si="5"/>
        <v>0</v>
      </c>
      <c r="N12" s="2">
        <f t="shared" si="5"/>
        <v>0</v>
      </c>
      <c r="O12" s="2">
        <f t="shared" si="5"/>
        <v>0</v>
      </c>
      <c r="P12" s="2">
        <f t="shared" si="5"/>
        <v>0</v>
      </c>
      <c r="Q12" s="2">
        <f t="shared" si="5"/>
        <v>0</v>
      </c>
      <c r="R12" s="2">
        <f t="shared" si="5"/>
        <v>0</v>
      </c>
      <c r="S12" s="5">
        <f t="shared" si="5"/>
        <v>0</v>
      </c>
    </row>
    <row r="13" spans="1:19" ht="12.75">
      <c r="A13" s="46" t="s">
        <v>24</v>
      </c>
      <c r="B13" s="42">
        <v>15972</v>
      </c>
      <c r="C13" s="42">
        <v>11857</v>
      </c>
      <c r="D13" s="42">
        <f>D15-D5</f>
        <v>12240</v>
      </c>
      <c r="E13" s="42">
        <f>E15-E5</f>
        <v>11621</v>
      </c>
      <c r="F13" s="42">
        <f>F15-F5</f>
        <v>11949</v>
      </c>
      <c r="G13" s="42">
        <v>11320</v>
      </c>
      <c r="H13" s="42">
        <v>11609</v>
      </c>
      <c r="I13" s="42">
        <v>13066</v>
      </c>
      <c r="J13" s="42">
        <v>14667</v>
      </c>
      <c r="K13" s="42">
        <v>16169</v>
      </c>
      <c r="L13" s="42">
        <v>16429</v>
      </c>
      <c r="M13" s="42">
        <v>15712</v>
      </c>
      <c r="N13" s="42">
        <v>18664</v>
      </c>
      <c r="O13" s="42">
        <v>21610</v>
      </c>
      <c r="P13" s="42">
        <v>22587</v>
      </c>
      <c r="Q13" s="42">
        <v>23154</v>
      </c>
      <c r="R13" s="42">
        <v>27900</v>
      </c>
      <c r="S13" s="28">
        <v>31203</v>
      </c>
    </row>
    <row r="14" spans="1:19" ht="12.75">
      <c r="A14" s="47" t="s">
        <v>23</v>
      </c>
      <c r="B14" s="2"/>
      <c r="C14" s="2"/>
      <c r="D14" s="2"/>
      <c r="E14" s="2"/>
      <c r="F14" s="2"/>
      <c r="G14" s="2"/>
      <c r="H14" s="2"/>
      <c r="I14" s="2"/>
      <c r="J14" s="2"/>
      <c r="K14" s="2"/>
      <c r="L14" s="2"/>
      <c r="M14" s="2"/>
      <c r="N14" s="2"/>
      <c r="O14" s="2"/>
      <c r="P14" s="2"/>
      <c r="Q14" s="2"/>
      <c r="R14" s="2"/>
      <c r="S14" s="5"/>
    </row>
    <row r="15" spans="1:19" ht="12.75">
      <c r="A15" s="48" t="s">
        <v>22</v>
      </c>
      <c r="B15" s="17">
        <f>SUM(B5,B13)</f>
        <v>30475</v>
      </c>
      <c r="C15" s="17">
        <f>SUM(C5,C13)</f>
        <v>26161</v>
      </c>
      <c r="D15" s="17">
        <v>27028</v>
      </c>
      <c r="E15" s="17">
        <v>26977</v>
      </c>
      <c r="F15" s="17">
        <f>27652</f>
        <v>27652</v>
      </c>
      <c r="G15" s="17">
        <f>SUM(G13,G5)</f>
        <v>27591</v>
      </c>
      <c r="H15" s="17">
        <v>27464</v>
      </c>
      <c r="I15" s="17">
        <v>29281</v>
      </c>
      <c r="J15" s="17">
        <f>SUM(J13,J5)</f>
        <v>31384</v>
      </c>
      <c r="K15" s="17">
        <f>SUM(K5,K13:K14)</f>
        <v>33114</v>
      </c>
      <c r="L15" s="17">
        <v>34300</v>
      </c>
      <c r="M15" s="17">
        <v>35641</v>
      </c>
      <c r="N15" s="17">
        <v>40227</v>
      </c>
      <c r="O15" s="17">
        <v>44675</v>
      </c>
      <c r="P15" s="17">
        <v>47222</v>
      </c>
      <c r="Q15" s="17">
        <v>49909</v>
      </c>
      <c r="R15" s="17">
        <f>SUM(R13,R5)</f>
        <v>60306</v>
      </c>
      <c r="S15" s="16">
        <f>SUM(S13,S5)</f>
        <v>65743</v>
      </c>
    </row>
    <row r="16" spans="1:19" ht="12.75">
      <c r="A16" s="5"/>
      <c r="B16" s="42"/>
      <c r="C16" s="42"/>
      <c r="D16" s="42"/>
      <c r="E16" s="42"/>
      <c r="F16" s="42"/>
      <c r="G16" s="42"/>
      <c r="H16" s="42"/>
      <c r="I16" s="42"/>
      <c r="J16" s="42"/>
      <c r="K16" s="42"/>
      <c r="L16" s="42"/>
      <c r="M16" s="42"/>
      <c r="N16" s="42"/>
      <c r="O16" s="42"/>
      <c r="P16" s="42"/>
      <c r="Q16" s="42"/>
      <c r="R16" s="42"/>
      <c r="S16" s="28"/>
    </row>
    <row r="17" spans="1:19" ht="12.75" outlineLevel="1">
      <c r="A17" s="41" t="s">
        <v>21</v>
      </c>
      <c r="B17" s="40"/>
      <c r="C17" s="40"/>
      <c r="D17" s="40"/>
      <c r="E17" s="40"/>
      <c r="F17" s="40"/>
      <c r="G17" s="40"/>
      <c r="H17" s="40"/>
      <c r="I17" s="40"/>
      <c r="J17" s="40"/>
      <c r="K17" s="40"/>
      <c r="L17" s="40"/>
      <c r="M17" s="40"/>
      <c r="N17" s="40"/>
      <c r="O17" s="40"/>
      <c r="P17" s="40"/>
      <c r="Q17" s="40"/>
      <c r="R17" s="40"/>
      <c r="S17" s="39"/>
    </row>
    <row r="18" spans="1:19" ht="12.75" outlineLevel="1">
      <c r="A18" s="47" t="s">
        <v>12</v>
      </c>
      <c r="B18" s="30"/>
      <c r="C18" s="30"/>
      <c r="D18" s="30"/>
      <c r="E18" s="30"/>
      <c r="F18" s="30"/>
      <c r="G18" s="30"/>
      <c r="H18" s="30"/>
      <c r="I18" s="30"/>
      <c r="J18" s="30"/>
      <c r="K18" s="30"/>
      <c r="L18" s="30"/>
      <c r="M18" s="30"/>
      <c r="N18" s="30"/>
      <c r="O18" s="30"/>
      <c r="P18" s="30"/>
      <c r="Q18" s="30"/>
      <c r="R18" s="30"/>
      <c r="S18" s="5"/>
    </row>
    <row r="19" spans="1:19" ht="25.5" outlineLevel="1">
      <c r="A19" s="47" t="s">
        <v>16</v>
      </c>
      <c r="B19" s="30"/>
      <c r="C19" s="30"/>
      <c r="D19" s="30"/>
      <c r="E19" s="30"/>
      <c r="F19" s="30"/>
      <c r="G19" s="30"/>
      <c r="H19" s="30"/>
      <c r="I19" s="30"/>
      <c r="J19" s="30"/>
      <c r="K19" s="30"/>
      <c r="L19" s="30"/>
      <c r="M19" s="30"/>
      <c r="N19" s="30"/>
      <c r="O19" s="30"/>
      <c r="P19" s="30"/>
      <c r="Q19" s="30"/>
      <c r="R19" s="30"/>
      <c r="S19" s="5"/>
    </row>
    <row r="20" spans="1:19" ht="25.5" outlineLevel="1">
      <c r="A20" s="46" t="s">
        <v>20</v>
      </c>
      <c r="B20" s="29">
        <f aca="true" t="shared" si="6" ref="B20:S20">SUM(B18:B19)</f>
        <v>0</v>
      </c>
      <c r="C20" s="29">
        <f t="shared" si="6"/>
        <v>0</v>
      </c>
      <c r="D20" s="29">
        <f t="shared" si="6"/>
        <v>0</v>
      </c>
      <c r="E20" s="29">
        <f t="shared" si="6"/>
        <v>0</v>
      </c>
      <c r="F20" s="29">
        <f t="shared" si="6"/>
        <v>0</v>
      </c>
      <c r="G20" s="29">
        <f t="shared" si="6"/>
        <v>0</v>
      </c>
      <c r="H20" s="29">
        <f t="shared" si="6"/>
        <v>0</v>
      </c>
      <c r="I20" s="29">
        <f t="shared" si="6"/>
        <v>0</v>
      </c>
      <c r="J20" s="29">
        <f t="shared" si="6"/>
        <v>0</v>
      </c>
      <c r="K20" s="29">
        <f t="shared" si="6"/>
        <v>0</v>
      </c>
      <c r="L20" s="29">
        <f t="shared" si="6"/>
        <v>0</v>
      </c>
      <c r="M20" s="29">
        <f t="shared" si="6"/>
        <v>0</v>
      </c>
      <c r="N20" s="29">
        <f t="shared" si="6"/>
        <v>0</v>
      </c>
      <c r="O20" s="29">
        <f t="shared" si="6"/>
        <v>0</v>
      </c>
      <c r="P20" s="29">
        <f t="shared" si="6"/>
        <v>0</v>
      </c>
      <c r="Q20" s="29">
        <f t="shared" si="6"/>
        <v>0</v>
      </c>
      <c r="R20" s="29">
        <f t="shared" si="6"/>
        <v>0</v>
      </c>
      <c r="S20" s="28">
        <f t="shared" si="6"/>
        <v>0</v>
      </c>
    </row>
    <row r="21" spans="1:19" ht="12.75" outlineLevel="1">
      <c r="A21" s="49" t="s">
        <v>14</v>
      </c>
      <c r="B21" s="27"/>
      <c r="C21" s="27"/>
      <c r="D21" s="27"/>
      <c r="E21" s="27"/>
      <c r="F21" s="27"/>
      <c r="G21" s="27"/>
      <c r="H21" s="27"/>
      <c r="I21" s="27"/>
      <c r="J21" s="27"/>
      <c r="K21" s="27"/>
      <c r="L21" s="27"/>
      <c r="M21" s="27"/>
      <c r="N21" s="27"/>
      <c r="O21" s="27"/>
      <c r="P21" s="27"/>
      <c r="Q21" s="27"/>
      <c r="R21" s="27"/>
      <c r="S21" s="26"/>
    </row>
    <row r="22" spans="1:19" ht="12.75" outlineLevel="1">
      <c r="A22" s="5"/>
      <c r="B22" s="42"/>
      <c r="C22" s="42"/>
      <c r="D22" s="42"/>
      <c r="E22" s="42"/>
      <c r="F22" s="42"/>
      <c r="G22" s="42"/>
      <c r="H22" s="42"/>
      <c r="I22" s="42"/>
      <c r="J22" s="42"/>
      <c r="K22" s="42"/>
      <c r="L22" s="42"/>
      <c r="M22" s="42"/>
      <c r="N22" s="42"/>
      <c r="O22" s="42"/>
      <c r="P22" s="42"/>
      <c r="Q22" s="42"/>
      <c r="R22" s="42"/>
      <c r="S22" s="28"/>
    </row>
    <row r="23" spans="1:19" ht="12.75" outlineLevel="1">
      <c r="A23" s="38" t="s">
        <v>19</v>
      </c>
      <c r="B23" s="37"/>
      <c r="C23" s="37"/>
      <c r="D23" s="37"/>
      <c r="E23" s="37"/>
      <c r="F23" s="37"/>
      <c r="G23" s="37"/>
      <c r="H23" s="37"/>
      <c r="I23" s="37"/>
      <c r="J23" s="37"/>
      <c r="K23" s="37"/>
      <c r="L23" s="37"/>
      <c r="M23" s="37"/>
      <c r="N23" s="37"/>
      <c r="O23" s="37"/>
      <c r="P23" s="37"/>
      <c r="Q23" s="37"/>
      <c r="R23" s="37"/>
      <c r="S23" s="36"/>
    </row>
    <row r="24" spans="1:19" ht="12.75" outlineLevel="1">
      <c r="A24" s="47" t="s">
        <v>12</v>
      </c>
      <c r="B24" s="30"/>
      <c r="C24" s="30"/>
      <c r="D24" s="30"/>
      <c r="E24" s="30"/>
      <c r="F24" s="30"/>
      <c r="G24" s="30"/>
      <c r="H24" s="30"/>
      <c r="I24" s="30"/>
      <c r="J24" s="30"/>
      <c r="K24" s="30"/>
      <c r="L24" s="30"/>
      <c r="M24" s="30"/>
      <c r="N24" s="30"/>
      <c r="O24" s="30"/>
      <c r="P24" s="64"/>
      <c r="Q24" s="64"/>
      <c r="R24" s="64"/>
      <c r="S24" s="85"/>
    </row>
    <row r="25" spans="1:19" ht="25.5" outlineLevel="1">
      <c r="A25" s="47" t="s">
        <v>16</v>
      </c>
      <c r="B25" s="30"/>
      <c r="C25" s="30"/>
      <c r="D25" s="30"/>
      <c r="E25" s="30"/>
      <c r="F25" s="30"/>
      <c r="G25" s="30"/>
      <c r="H25" s="30"/>
      <c r="I25" s="30"/>
      <c r="J25" s="30"/>
      <c r="K25" s="30"/>
      <c r="L25" s="30"/>
      <c r="M25" s="30"/>
      <c r="N25" s="30"/>
      <c r="O25" s="30"/>
      <c r="P25" s="30"/>
      <c r="Q25" s="30"/>
      <c r="R25" s="30"/>
      <c r="S25" s="5"/>
    </row>
    <row r="26" spans="1:19" ht="12.75" outlineLevel="1">
      <c r="A26" s="46" t="s">
        <v>18</v>
      </c>
      <c r="B26" s="29">
        <f aca="true" t="shared" si="7" ref="B26:S26">SUM(B24:B25)</f>
        <v>0</v>
      </c>
      <c r="C26" s="29">
        <f t="shared" si="7"/>
        <v>0</v>
      </c>
      <c r="D26" s="29">
        <f t="shared" si="7"/>
        <v>0</v>
      </c>
      <c r="E26" s="29">
        <f t="shared" si="7"/>
        <v>0</v>
      </c>
      <c r="F26" s="29">
        <f t="shared" si="7"/>
        <v>0</v>
      </c>
      <c r="G26" s="29">
        <f t="shared" si="7"/>
        <v>0</v>
      </c>
      <c r="H26" s="29">
        <f t="shared" si="7"/>
        <v>0</v>
      </c>
      <c r="I26" s="29">
        <f t="shared" si="7"/>
        <v>0</v>
      </c>
      <c r="J26" s="29">
        <f t="shared" si="7"/>
        <v>0</v>
      </c>
      <c r="K26" s="29">
        <f t="shared" si="7"/>
        <v>0</v>
      </c>
      <c r="L26" s="29">
        <f t="shared" si="7"/>
        <v>0</v>
      </c>
      <c r="M26" s="29">
        <f t="shared" si="7"/>
        <v>0</v>
      </c>
      <c r="N26" s="29">
        <f t="shared" si="7"/>
        <v>0</v>
      </c>
      <c r="O26" s="29">
        <f t="shared" si="7"/>
        <v>0</v>
      </c>
      <c r="P26" s="29">
        <f t="shared" si="7"/>
        <v>0</v>
      </c>
      <c r="Q26" s="29">
        <f t="shared" si="7"/>
        <v>0</v>
      </c>
      <c r="R26" s="29">
        <f t="shared" si="7"/>
        <v>0</v>
      </c>
      <c r="S26" s="28">
        <f t="shared" si="7"/>
        <v>0</v>
      </c>
    </row>
    <row r="27" spans="1:19" ht="12.75" outlineLevel="1">
      <c r="A27" s="51" t="s">
        <v>14</v>
      </c>
      <c r="B27" s="35"/>
      <c r="C27" s="35"/>
      <c r="D27" s="35"/>
      <c r="E27" s="35"/>
      <c r="F27" s="35"/>
      <c r="G27" s="35"/>
      <c r="H27" s="35"/>
      <c r="I27" s="35"/>
      <c r="J27" s="35"/>
      <c r="K27" s="35"/>
      <c r="L27" s="35"/>
      <c r="M27" s="35"/>
      <c r="N27" s="35"/>
      <c r="O27" s="35"/>
      <c r="P27" s="35"/>
      <c r="Q27" s="35"/>
      <c r="R27" s="35"/>
      <c r="S27" s="34"/>
    </row>
    <row r="28" spans="1:19" ht="12.75" outlineLevel="1">
      <c r="A28" s="5"/>
      <c r="B28" s="42"/>
      <c r="C28" s="42"/>
      <c r="D28" s="42"/>
      <c r="E28" s="42"/>
      <c r="F28" s="42"/>
      <c r="G28" s="42"/>
      <c r="H28" s="42"/>
      <c r="I28" s="42"/>
      <c r="J28" s="42"/>
      <c r="K28" s="42"/>
      <c r="L28" s="42"/>
      <c r="M28" s="42"/>
      <c r="N28" s="42"/>
      <c r="O28" s="42"/>
      <c r="P28" s="42"/>
      <c r="Q28" s="42"/>
      <c r="R28" s="42"/>
      <c r="S28" s="28"/>
    </row>
    <row r="29" spans="1:19" ht="12.75" outlineLevel="1">
      <c r="A29" s="33" t="s">
        <v>17</v>
      </c>
      <c r="B29" s="32"/>
      <c r="C29" s="32"/>
      <c r="D29" s="32"/>
      <c r="E29" s="32"/>
      <c r="F29" s="32"/>
      <c r="G29" s="32"/>
      <c r="H29" s="32"/>
      <c r="I29" s="32"/>
      <c r="J29" s="32"/>
      <c r="K29" s="32"/>
      <c r="L29" s="32"/>
      <c r="M29" s="32"/>
      <c r="N29" s="32"/>
      <c r="O29" s="32"/>
      <c r="P29" s="32"/>
      <c r="Q29" s="32"/>
      <c r="R29" s="32"/>
      <c r="S29" s="31"/>
    </row>
    <row r="30" spans="1:19" ht="12.75" outlineLevel="1">
      <c r="A30" s="47" t="s">
        <v>12</v>
      </c>
      <c r="B30" s="30"/>
      <c r="C30" s="30"/>
      <c r="D30" s="30"/>
      <c r="E30" s="30"/>
      <c r="F30" s="30"/>
      <c r="G30" s="30"/>
      <c r="H30" s="30"/>
      <c r="I30" s="30"/>
      <c r="J30" s="30"/>
      <c r="K30" s="30"/>
      <c r="L30" s="30"/>
      <c r="M30" s="30"/>
      <c r="N30" s="30"/>
      <c r="O30" s="30"/>
      <c r="P30" s="30"/>
      <c r="Q30" s="30"/>
      <c r="R30" s="30"/>
      <c r="S30" s="5"/>
    </row>
    <row r="31" spans="1:19" ht="25.5" outlineLevel="1">
      <c r="A31" s="47" t="s">
        <v>16</v>
      </c>
      <c r="B31" s="30"/>
      <c r="C31" s="30"/>
      <c r="D31" s="30"/>
      <c r="E31" s="30"/>
      <c r="F31" s="30"/>
      <c r="G31" s="30"/>
      <c r="H31" s="30"/>
      <c r="I31" s="30"/>
      <c r="J31" s="30"/>
      <c r="K31" s="30"/>
      <c r="L31" s="30"/>
      <c r="M31" s="30"/>
      <c r="N31" s="30"/>
      <c r="O31" s="30"/>
      <c r="P31" s="30"/>
      <c r="Q31" s="30"/>
      <c r="R31" s="30"/>
      <c r="S31" s="5"/>
    </row>
    <row r="32" spans="1:19" ht="12.75" outlineLevel="1">
      <c r="A32" s="46" t="s">
        <v>15</v>
      </c>
      <c r="B32" s="29">
        <f aca="true" t="shared" si="8" ref="B32:S32">SUM(B30:B31)</f>
        <v>0</v>
      </c>
      <c r="C32" s="29">
        <f t="shared" si="8"/>
        <v>0</v>
      </c>
      <c r="D32" s="29">
        <f t="shared" si="8"/>
        <v>0</v>
      </c>
      <c r="E32" s="29">
        <f t="shared" si="8"/>
        <v>0</v>
      </c>
      <c r="F32" s="29">
        <f t="shared" si="8"/>
        <v>0</v>
      </c>
      <c r="G32" s="29">
        <f t="shared" si="8"/>
        <v>0</v>
      </c>
      <c r="H32" s="29">
        <f t="shared" si="8"/>
        <v>0</v>
      </c>
      <c r="I32" s="29">
        <f t="shared" si="8"/>
        <v>0</v>
      </c>
      <c r="J32" s="29">
        <f t="shared" si="8"/>
        <v>0</v>
      </c>
      <c r="K32" s="29">
        <f t="shared" si="8"/>
        <v>0</v>
      </c>
      <c r="L32" s="29">
        <f t="shared" si="8"/>
        <v>0</v>
      </c>
      <c r="M32" s="29">
        <f t="shared" si="8"/>
        <v>0</v>
      </c>
      <c r="N32" s="29">
        <f t="shared" si="8"/>
        <v>0</v>
      </c>
      <c r="O32" s="29">
        <f t="shared" si="8"/>
        <v>0</v>
      </c>
      <c r="P32" s="29">
        <f t="shared" si="8"/>
        <v>0</v>
      </c>
      <c r="Q32" s="29">
        <f t="shared" si="8"/>
        <v>0</v>
      </c>
      <c r="R32" s="29">
        <f t="shared" si="8"/>
        <v>0</v>
      </c>
      <c r="S32" s="28">
        <f t="shared" si="8"/>
        <v>0</v>
      </c>
    </row>
    <row r="33" spans="1:19" ht="12.75" outlineLevel="1">
      <c r="A33" s="49" t="s">
        <v>14</v>
      </c>
      <c r="B33" s="27"/>
      <c r="C33" s="27"/>
      <c r="D33" s="27"/>
      <c r="E33" s="27"/>
      <c r="F33" s="27"/>
      <c r="G33" s="27"/>
      <c r="H33" s="27"/>
      <c r="I33" s="27"/>
      <c r="J33" s="27"/>
      <c r="K33" s="27"/>
      <c r="L33" s="27"/>
      <c r="M33" s="27"/>
      <c r="N33" s="27"/>
      <c r="O33" s="27"/>
      <c r="P33" s="27"/>
      <c r="Q33" s="27"/>
      <c r="R33" s="27"/>
      <c r="S33" s="26"/>
    </row>
    <row r="34" spans="1:19" ht="12.75">
      <c r="A34" s="5"/>
      <c r="B34" s="42"/>
      <c r="C34" s="42"/>
      <c r="D34" s="42"/>
      <c r="E34" s="42"/>
      <c r="F34" s="42"/>
      <c r="G34" s="42"/>
      <c r="H34" s="42"/>
      <c r="I34" s="42"/>
      <c r="J34" s="42"/>
      <c r="K34" s="42"/>
      <c r="L34" s="42"/>
      <c r="M34" s="42"/>
      <c r="N34" s="42"/>
      <c r="O34" s="42"/>
      <c r="P34" s="42"/>
      <c r="Q34" s="42"/>
      <c r="R34" s="42"/>
      <c r="S34" s="28"/>
    </row>
    <row r="35" spans="1:19" ht="12.75">
      <c r="A35" s="38" t="s">
        <v>34</v>
      </c>
      <c r="B35" s="37"/>
      <c r="C35" s="37"/>
      <c r="D35" s="37"/>
      <c r="E35" s="37"/>
      <c r="F35" s="37"/>
      <c r="G35" s="37"/>
      <c r="H35" s="37"/>
      <c r="I35" s="37"/>
      <c r="J35" s="37"/>
      <c r="K35" s="37"/>
      <c r="L35" s="37"/>
      <c r="M35" s="37"/>
      <c r="N35" s="37"/>
      <c r="O35" s="37"/>
      <c r="P35" s="37"/>
      <c r="Q35" s="37"/>
      <c r="R35" s="37"/>
      <c r="S35" s="36"/>
    </row>
    <row r="36" spans="1:19" ht="12.75">
      <c r="A36" s="47" t="s">
        <v>12</v>
      </c>
      <c r="B36" s="30">
        <v>2842</v>
      </c>
      <c r="C36" s="30">
        <v>3041</v>
      </c>
      <c r="D36" s="30">
        <v>3515</v>
      </c>
      <c r="E36" s="30">
        <v>4013</v>
      </c>
      <c r="F36" s="30">
        <v>4546</v>
      </c>
      <c r="G36" s="30">
        <f>4135+916</f>
        <v>5051</v>
      </c>
      <c r="H36" s="30">
        <f>4164+974</f>
        <v>5138</v>
      </c>
      <c r="I36" s="30">
        <v>5186</v>
      </c>
      <c r="J36" s="30">
        <v>5303</v>
      </c>
      <c r="K36" s="30">
        <v>5248</v>
      </c>
      <c r="L36" s="30">
        <v>4964</v>
      </c>
      <c r="M36" s="30">
        <v>4640</v>
      </c>
      <c r="N36" s="30">
        <v>4536</v>
      </c>
      <c r="O36" s="90">
        <v>4795</v>
      </c>
      <c r="P36" s="90">
        <v>4857</v>
      </c>
      <c r="Q36" s="90">
        <f>4882</f>
        <v>4882</v>
      </c>
      <c r="R36" s="90">
        <v>5053</v>
      </c>
      <c r="S36" s="87">
        <v>5131</v>
      </c>
    </row>
    <row r="37" spans="1:19" ht="25.5">
      <c r="A37" s="47" t="s">
        <v>16</v>
      </c>
      <c r="B37" s="30">
        <f>1091+721+250</f>
        <v>2062</v>
      </c>
      <c r="C37" s="30"/>
      <c r="D37" s="30"/>
      <c r="E37" s="30"/>
      <c r="F37" s="30"/>
      <c r="G37" s="30"/>
      <c r="H37" s="30">
        <f>228+1656</f>
        <v>1884</v>
      </c>
      <c r="I37" s="30">
        <f>224+1903</f>
        <v>2127</v>
      </c>
      <c r="J37" s="30">
        <f>1733+176</f>
        <v>1909</v>
      </c>
      <c r="K37" s="30">
        <f>245+1448</f>
        <v>1693</v>
      </c>
      <c r="L37" s="30">
        <f>236+1663</f>
        <v>1899</v>
      </c>
      <c r="M37" s="30">
        <f>1741+357</f>
        <v>2098</v>
      </c>
      <c r="N37" s="30">
        <f>2284+255</f>
        <v>2539</v>
      </c>
      <c r="O37" s="30">
        <f>266+2090</f>
        <v>2356</v>
      </c>
      <c r="P37" s="30">
        <f>215+2251</f>
        <v>2466</v>
      </c>
      <c r="Q37" s="30">
        <f>204+2122</f>
        <v>2326</v>
      </c>
      <c r="R37" s="30">
        <f>210+2133</f>
        <v>2343</v>
      </c>
      <c r="S37" s="5">
        <f>284+2781</f>
        <v>3065</v>
      </c>
    </row>
    <row r="38" spans="1:19" ht="12.75">
      <c r="A38" s="46" t="s">
        <v>18</v>
      </c>
      <c r="B38" s="29">
        <f aca="true" t="shared" si="9" ref="B38:S38">SUM(B36:B37)</f>
        <v>4904</v>
      </c>
      <c r="C38" s="29">
        <f t="shared" si="9"/>
        <v>3041</v>
      </c>
      <c r="D38" s="29"/>
      <c r="E38" s="29"/>
      <c r="F38" s="29"/>
      <c r="G38" s="29"/>
      <c r="H38" s="29">
        <f t="shared" si="9"/>
        <v>7022</v>
      </c>
      <c r="I38" s="29">
        <f t="shared" si="9"/>
        <v>7313</v>
      </c>
      <c r="J38" s="29">
        <f t="shared" si="9"/>
        <v>7212</v>
      </c>
      <c r="K38" s="29">
        <f t="shared" si="9"/>
        <v>6941</v>
      </c>
      <c r="L38" s="29">
        <f t="shared" si="9"/>
        <v>6863</v>
      </c>
      <c r="M38" s="29">
        <f t="shared" si="9"/>
        <v>6738</v>
      </c>
      <c r="N38" s="29">
        <f t="shared" si="9"/>
        <v>7075</v>
      </c>
      <c r="O38" s="29">
        <f t="shared" si="9"/>
        <v>7151</v>
      </c>
      <c r="P38" s="29">
        <f t="shared" si="9"/>
        <v>7323</v>
      </c>
      <c r="Q38" s="29">
        <f t="shared" si="9"/>
        <v>7208</v>
      </c>
      <c r="R38" s="29">
        <f t="shared" si="9"/>
        <v>7396</v>
      </c>
      <c r="S38" s="28">
        <f t="shared" si="9"/>
        <v>8196</v>
      </c>
    </row>
    <row r="39" spans="1:19" ht="12.75">
      <c r="A39" s="51" t="s">
        <v>14</v>
      </c>
      <c r="B39" s="35">
        <f aca="true" t="shared" si="10" ref="B39:S39">B38-B66</f>
        <v>-1667</v>
      </c>
      <c r="C39" s="35">
        <f t="shared" si="10"/>
        <v>-6318</v>
      </c>
      <c r="D39" s="35"/>
      <c r="E39" s="35"/>
      <c r="F39" s="35"/>
      <c r="G39" s="35"/>
      <c r="H39" s="35">
        <f t="shared" si="10"/>
        <v>-701</v>
      </c>
      <c r="I39" s="35">
        <f t="shared" si="10"/>
        <v>-975</v>
      </c>
      <c r="J39" s="35">
        <f t="shared" si="10"/>
        <v>-799</v>
      </c>
      <c r="K39" s="35">
        <f t="shared" si="10"/>
        <v>-1992</v>
      </c>
      <c r="L39" s="35">
        <f t="shared" si="10"/>
        <v>-2329</v>
      </c>
      <c r="M39" s="35">
        <f t="shared" si="10"/>
        <v>-3738</v>
      </c>
      <c r="N39" s="35">
        <f t="shared" si="10"/>
        <v>-2028</v>
      </c>
      <c r="O39" s="35">
        <f t="shared" si="10"/>
        <v>-2154</v>
      </c>
      <c r="P39" s="35">
        <f t="shared" si="10"/>
        <v>-1367</v>
      </c>
      <c r="Q39" s="35">
        <f t="shared" si="10"/>
        <v>-1934</v>
      </c>
      <c r="R39" s="35">
        <f t="shared" si="10"/>
        <v>-1094</v>
      </c>
      <c r="S39" s="34">
        <f t="shared" si="10"/>
        <v>-2194</v>
      </c>
    </row>
    <row r="40" spans="1:19" ht="12.75">
      <c r="A40" s="50"/>
      <c r="B40" s="2"/>
      <c r="C40" s="2"/>
      <c r="D40" s="2"/>
      <c r="E40" s="2"/>
      <c r="F40" s="2"/>
      <c r="G40" s="2"/>
      <c r="H40" s="2"/>
      <c r="I40" s="2"/>
      <c r="J40" s="2"/>
      <c r="K40" s="2"/>
      <c r="L40" s="2"/>
      <c r="M40" s="2"/>
      <c r="N40" s="2"/>
      <c r="O40" s="2"/>
      <c r="P40" s="2"/>
      <c r="Q40" s="2"/>
      <c r="R40" s="2"/>
      <c r="S40" s="5"/>
    </row>
    <row r="41" spans="1:19" ht="12.75">
      <c r="A41" s="38" t="s">
        <v>46</v>
      </c>
      <c r="B41" s="37"/>
      <c r="C41" s="37"/>
      <c r="D41" s="37"/>
      <c r="E41" s="37"/>
      <c r="F41" s="37"/>
      <c r="G41" s="37"/>
      <c r="H41" s="37"/>
      <c r="I41" s="37"/>
      <c r="J41" s="37"/>
      <c r="K41" s="37"/>
      <c r="L41" s="37"/>
      <c r="M41" s="37"/>
      <c r="N41" s="37"/>
      <c r="O41" s="37"/>
      <c r="P41" s="37"/>
      <c r="Q41" s="37"/>
      <c r="R41" s="37"/>
      <c r="S41" s="36"/>
    </row>
    <row r="42" spans="1:19" ht="12.75">
      <c r="A42" s="47" t="s">
        <v>12</v>
      </c>
      <c r="B42" s="30"/>
      <c r="C42" s="30">
        <v>39</v>
      </c>
      <c r="D42" s="30"/>
      <c r="E42" s="30"/>
      <c r="F42" s="30"/>
      <c r="G42" s="30"/>
      <c r="H42" s="30"/>
      <c r="I42" s="30"/>
      <c r="J42" s="30"/>
      <c r="K42" s="30"/>
      <c r="L42" s="30"/>
      <c r="M42" s="30"/>
      <c r="N42" s="30">
        <f>2907</f>
        <v>2907</v>
      </c>
      <c r="O42" s="30">
        <f>4471</f>
        <v>4471</v>
      </c>
      <c r="P42" s="30">
        <f>132+4570</f>
        <v>4702</v>
      </c>
      <c r="Q42" s="30">
        <f>134+4632</f>
        <v>4766</v>
      </c>
      <c r="R42" s="30">
        <f>143+4980</f>
        <v>5123</v>
      </c>
      <c r="S42" s="5">
        <f>135+5129</f>
        <v>5264</v>
      </c>
    </row>
    <row r="43" spans="1:19" ht="25.5">
      <c r="A43" s="47" t="s">
        <v>16</v>
      </c>
      <c r="B43" s="30">
        <f>800+433+354</f>
        <v>1587</v>
      </c>
      <c r="C43" s="64">
        <f>C44-C42</f>
        <v>934</v>
      </c>
      <c r="D43" s="30"/>
      <c r="E43" s="30"/>
      <c r="F43" s="30"/>
      <c r="G43" s="30"/>
      <c r="H43" s="30">
        <v>2559</v>
      </c>
      <c r="I43" s="30">
        <f>267+216+79+1121</f>
        <v>1683</v>
      </c>
      <c r="J43" s="30">
        <f>341+228+56+20+1516</f>
        <v>2161</v>
      </c>
      <c r="K43" s="30">
        <f>414+438+146+1099+20</f>
        <v>2117</v>
      </c>
      <c r="L43" s="30">
        <f>307+189+90+1961</f>
        <v>2547</v>
      </c>
      <c r="M43" s="30">
        <f>422+154+179+2288</f>
        <v>3043</v>
      </c>
      <c r="N43" s="30">
        <f>419+8+185+164+1822</f>
        <v>2598</v>
      </c>
      <c r="O43" s="30">
        <f>375+18+184+227+2502</f>
        <v>3306</v>
      </c>
      <c r="P43" s="30">
        <f>1754+225+3081+316</f>
        <v>5376</v>
      </c>
      <c r="Q43" s="30">
        <f>3438+585+153+110+3768+314</f>
        <v>8368</v>
      </c>
      <c r="R43" s="30">
        <f>658+846+173+234+3585+49</f>
        <v>5545</v>
      </c>
      <c r="S43" s="5">
        <f>854+975+275+217+53+4849</f>
        <v>7223</v>
      </c>
    </row>
    <row r="44" spans="1:19" ht="12.75">
      <c r="A44" s="46" t="s">
        <v>18</v>
      </c>
      <c r="B44" s="29">
        <f aca="true" t="shared" si="11" ref="B44:S44">SUM(B42:B43)</f>
        <v>1587</v>
      </c>
      <c r="C44" s="29">
        <v>973</v>
      </c>
      <c r="D44" s="29"/>
      <c r="E44" s="29"/>
      <c r="F44" s="29"/>
      <c r="G44" s="29"/>
      <c r="H44" s="29">
        <f t="shared" si="11"/>
        <v>2559</v>
      </c>
      <c r="I44" s="29">
        <f t="shared" si="11"/>
        <v>1683</v>
      </c>
      <c r="J44" s="29">
        <f t="shared" si="11"/>
        <v>2161</v>
      </c>
      <c r="K44" s="29">
        <f t="shared" si="11"/>
        <v>2117</v>
      </c>
      <c r="L44" s="29">
        <f t="shared" si="11"/>
        <v>2547</v>
      </c>
      <c r="M44" s="29">
        <f t="shared" si="11"/>
        <v>3043</v>
      </c>
      <c r="N44" s="29">
        <f t="shared" si="11"/>
        <v>5505</v>
      </c>
      <c r="O44" s="29">
        <f t="shared" si="11"/>
        <v>7777</v>
      </c>
      <c r="P44" s="29">
        <f t="shared" si="11"/>
        <v>10078</v>
      </c>
      <c r="Q44" s="29">
        <f t="shared" si="11"/>
        <v>13134</v>
      </c>
      <c r="R44" s="29">
        <f t="shared" si="11"/>
        <v>10668</v>
      </c>
      <c r="S44" s="28">
        <f t="shared" si="11"/>
        <v>12487</v>
      </c>
    </row>
    <row r="45" spans="1:19" ht="12.75">
      <c r="A45" s="51" t="s">
        <v>14</v>
      </c>
      <c r="B45" s="35">
        <f aca="true" t="shared" si="12" ref="B45:S45">B44-B67</f>
        <v>-2720</v>
      </c>
      <c r="C45" s="35">
        <f t="shared" si="12"/>
        <v>-3583</v>
      </c>
      <c r="D45" s="35"/>
      <c r="E45" s="35"/>
      <c r="F45" s="35"/>
      <c r="G45" s="35"/>
      <c r="H45" s="35">
        <f t="shared" si="12"/>
        <v>-7292</v>
      </c>
      <c r="I45" s="35">
        <f t="shared" si="12"/>
        <v>-7566</v>
      </c>
      <c r="J45" s="35">
        <f t="shared" si="12"/>
        <v>-8881</v>
      </c>
      <c r="K45" s="35">
        <f t="shared" si="12"/>
        <v>-8562</v>
      </c>
      <c r="L45" s="35">
        <f t="shared" si="12"/>
        <v>-9034</v>
      </c>
      <c r="M45" s="35">
        <f t="shared" si="12"/>
        <v>-10780</v>
      </c>
      <c r="N45" s="35">
        <f t="shared" si="12"/>
        <v>-9551</v>
      </c>
      <c r="O45" s="35">
        <f t="shared" si="12"/>
        <v>-10617</v>
      </c>
      <c r="P45" s="35">
        <f t="shared" si="12"/>
        <v>-10146</v>
      </c>
      <c r="Q45" s="35">
        <f t="shared" si="12"/>
        <v>-13674</v>
      </c>
      <c r="R45" s="35">
        <f t="shared" si="12"/>
        <v>-15674</v>
      </c>
      <c r="S45" s="34">
        <f t="shared" si="12"/>
        <v>-17268</v>
      </c>
    </row>
    <row r="46" spans="1:19" ht="12.75">
      <c r="A46" s="50"/>
      <c r="B46" s="2"/>
      <c r="C46" s="2"/>
      <c r="D46" s="2"/>
      <c r="E46" s="2"/>
      <c r="F46" s="2"/>
      <c r="G46" s="2"/>
      <c r="H46" s="2"/>
      <c r="I46" s="2"/>
      <c r="J46" s="2"/>
      <c r="K46" s="2"/>
      <c r="L46" s="2"/>
      <c r="M46" s="2"/>
      <c r="N46" s="2"/>
      <c r="O46" s="2"/>
      <c r="P46" s="2"/>
      <c r="Q46" s="2"/>
      <c r="R46" s="2"/>
      <c r="S46" s="5"/>
    </row>
    <row r="47" spans="1:19" ht="12.75">
      <c r="A47" s="38" t="s">
        <v>47</v>
      </c>
      <c r="B47" s="37"/>
      <c r="C47" s="37"/>
      <c r="D47" s="37"/>
      <c r="E47" s="37"/>
      <c r="F47" s="37"/>
      <c r="G47" s="37"/>
      <c r="H47" s="37"/>
      <c r="I47" s="37"/>
      <c r="J47" s="37"/>
      <c r="K47" s="37"/>
      <c r="L47" s="37"/>
      <c r="M47" s="37"/>
      <c r="N47" s="37"/>
      <c r="O47" s="37"/>
      <c r="P47" s="37"/>
      <c r="Q47" s="37"/>
      <c r="R47" s="37"/>
      <c r="S47" s="36"/>
    </row>
    <row r="48" spans="1:19" ht="12.75">
      <c r="A48" s="47" t="s">
        <v>12</v>
      </c>
      <c r="B48" s="2">
        <v>2139</v>
      </c>
      <c r="C48" s="2">
        <v>1812</v>
      </c>
      <c r="D48" s="2">
        <v>1644</v>
      </c>
      <c r="E48" s="2">
        <v>765</v>
      </c>
      <c r="F48" s="2">
        <v>769</v>
      </c>
      <c r="G48" s="2">
        <v>831</v>
      </c>
      <c r="H48" s="2">
        <v>1516</v>
      </c>
      <c r="I48" s="2">
        <v>1915</v>
      </c>
      <c r="J48" s="2">
        <v>1654</v>
      </c>
      <c r="K48" s="2">
        <v>1546</v>
      </c>
      <c r="L48" s="2">
        <f>1484</f>
        <v>1484</v>
      </c>
      <c r="M48" s="2">
        <f>1265</f>
        <v>1265</v>
      </c>
      <c r="N48" s="2">
        <v>1310</v>
      </c>
      <c r="O48" s="2">
        <v>1376</v>
      </c>
      <c r="P48" s="86">
        <v>1830</v>
      </c>
      <c r="Q48" s="86">
        <v>1857</v>
      </c>
      <c r="R48" s="86">
        <v>2029</v>
      </c>
      <c r="S48" s="87">
        <v>1780</v>
      </c>
    </row>
    <row r="49" spans="1:19" ht="25.5">
      <c r="A49" s="47" t="s">
        <v>16</v>
      </c>
      <c r="B49" s="2">
        <f>B50-B48</f>
        <v>1820</v>
      </c>
      <c r="C49" s="2"/>
      <c r="D49" s="2"/>
      <c r="E49" s="2"/>
      <c r="F49" s="2"/>
      <c r="G49" s="2"/>
      <c r="H49" s="2">
        <f>727+203</f>
        <v>930</v>
      </c>
      <c r="I49" s="2">
        <v>1046</v>
      </c>
      <c r="J49" s="2">
        <f>89+1293</f>
        <v>1382</v>
      </c>
      <c r="K49" s="2">
        <f>1555+96</f>
        <v>1651</v>
      </c>
      <c r="L49" s="2">
        <f>1770+156</f>
        <v>1926</v>
      </c>
      <c r="M49" s="2">
        <f>2503+109</f>
        <v>2612</v>
      </c>
      <c r="N49" s="2">
        <f>4843+91</f>
        <v>4934</v>
      </c>
      <c r="O49" s="2">
        <f>5762+236</f>
        <v>5998</v>
      </c>
      <c r="P49" s="2">
        <f>7632+157</f>
        <v>7789</v>
      </c>
      <c r="Q49" s="2">
        <f>5652+118</f>
        <v>5770</v>
      </c>
      <c r="R49" s="2">
        <f>4842+220</f>
        <v>5062</v>
      </c>
      <c r="S49" s="5">
        <f>5506+408</f>
        <v>5914</v>
      </c>
    </row>
    <row r="50" spans="1:19" ht="12.75">
      <c r="A50" s="46" t="s">
        <v>18</v>
      </c>
      <c r="B50" s="29">
        <f>216+3743</f>
        <v>3959</v>
      </c>
      <c r="C50" s="29">
        <f>SUM(C48:C49)</f>
        <v>1812</v>
      </c>
      <c r="D50" s="29"/>
      <c r="E50" s="29"/>
      <c r="F50" s="29"/>
      <c r="G50" s="29"/>
      <c r="H50" s="29">
        <f aca="true" t="shared" si="13" ref="H50:S50">SUM(H48:H49)</f>
        <v>2446</v>
      </c>
      <c r="I50" s="29">
        <f t="shared" si="13"/>
        <v>2961</v>
      </c>
      <c r="J50" s="29">
        <f t="shared" si="13"/>
        <v>3036</v>
      </c>
      <c r="K50" s="29">
        <f t="shared" si="13"/>
        <v>3197</v>
      </c>
      <c r="L50" s="29">
        <f t="shared" si="13"/>
        <v>3410</v>
      </c>
      <c r="M50" s="29">
        <f t="shared" si="13"/>
        <v>3877</v>
      </c>
      <c r="N50" s="29">
        <f t="shared" si="13"/>
        <v>6244</v>
      </c>
      <c r="O50" s="29">
        <f t="shared" si="13"/>
        <v>7374</v>
      </c>
      <c r="P50" s="29">
        <f t="shared" si="13"/>
        <v>9619</v>
      </c>
      <c r="Q50" s="29">
        <f t="shared" si="13"/>
        <v>7627</v>
      </c>
      <c r="R50" s="29">
        <f t="shared" si="13"/>
        <v>7091</v>
      </c>
      <c r="S50" s="28">
        <f t="shared" si="13"/>
        <v>7694</v>
      </c>
    </row>
    <row r="51" spans="1:19" ht="12.75">
      <c r="A51" s="51" t="s">
        <v>14</v>
      </c>
      <c r="B51" s="35">
        <f>B50-B68+1844</f>
        <v>-3820</v>
      </c>
      <c r="C51" s="35">
        <f>C50-C68</f>
        <v>-3809</v>
      </c>
      <c r="D51" s="35"/>
      <c r="E51" s="35"/>
      <c r="F51" s="35"/>
      <c r="G51" s="35"/>
      <c r="H51" s="35">
        <f>H50-H68</f>
        <v>-1430</v>
      </c>
      <c r="I51" s="35">
        <f>I50-I68+2642</f>
        <v>-1407</v>
      </c>
      <c r="J51" s="35">
        <f>J50-J68+2451</f>
        <v>-1794</v>
      </c>
      <c r="K51" s="35">
        <f>K50-K68+2599</f>
        <v>-1872</v>
      </c>
      <c r="L51" s="35">
        <f>L50-L68+3143</f>
        <v>-2088</v>
      </c>
      <c r="M51" s="35">
        <f>M50-M68+3838</f>
        <v>-2322</v>
      </c>
      <c r="N51" s="35">
        <f>N50-N68+4803</f>
        <v>-2401</v>
      </c>
      <c r="O51" s="35">
        <f>O50-O68+5390</f>
        <v>-2353</v>
      </c>
      <c r="P51" s="35">
        <f>P50-P68+3435</f>
        <v>-1644</v>
      </c>
      <c r="Q51" s="35">
        <f>Q50-Q68+3628</f>
        <v>-1469</v>
      </c>
      <c r="R51" s="35">
        <f>R50-R68+5887</f>
        <v>-1555</v>
      </c>
      <c r="S51" s="34">
        <f>S50-S68+7535</f>
        <v>-1626</v>
      </c>
    </row>
    <row r="52" spans="1:19" ht="12.75">
      <c r="A52" s="50"/>
      <c r="B52" s="2"/>
      <c r="C52" s="2"/>
      <c r="D52" s="2"/>
      <c r="E52" s="2"/>
      <c r="F52" s="2"/>
      <c r="G52" s="2"/>
      <c r="H52" s="2"/>
      <c r="I52" s="2"/>
      <c r="J52" s="2"/>
      <c r="K52" s="2"/>
      <c r="L52" s="2"/>
      <c r="M52" s="2"/>
      <c r="N52" s="2"/>
      <c r="O52" s="2"/>
      <c r="P52" s="2"/>
      <c r="Q52" s="2"/>
      <c r="R52" s="2"/>
      <c r="S52" s="5"/>
    </row>
    <row r="53" spans="1:19" ht="12.75">
      <c r="A53" s="25" t="s">
        <v>13</v>
      </c>
      <c r="B53" s="24"/>
      <c r="C53" s="24"/>
      <c r="D53" s="24"/>
      <c r="E53" s="24"/>
      <c r="F53" s="24"/>
      <c r="G53" s="24"/>
      <c r="H53" s="24"/>
      <c r="I53" s="24"/>
      <c r="J53" s="24"/>
      <c r="K53" s="24"/>
      <c r="L53" s="24"/>
      <c r="M53" s="24"/>
      <c r="N53" s="24"/>
      <c r="O53" s="24"/>
      <c r="P53" s="24"/>
      <c r="Q53" s="24"/>
      <c r="R53" s="24"/>
      <c r="S53" s="23"/>
    </row>
    <row r="54" spans="1:19" ht="12.75">
      <c r="A54" s="52" t="s">
        <v>12</v>
      </c>
      <c r="B54" s="66">
        <f aca="true" t="shared" si="14" ref="B54:S57">SUM(B18,B24,B30,B36,B42,B48)</f>
        <v>4981</v>
      </c>
      <c r="C54" s="66">
        <f>SUM(C18,C24,C30,C36,C42,C48)</f>
        <v>4892</v>
      </c>
      <c r="D54" s="66">
        <f t="shared" si="14"/>
        <v>5159</v>
      </c>
      <c r="E54" s="66">
        <f t="shared" si="14"/>
        <v>4778</v>
      </c>
      <c r="F54" s="66">
        <f t="shared" si="14"/>
        <v>5315</v>
      </c>
      <c r="G54" s="66">
        <f t="shared" si="14"/>
        <v>5882</v>
      </c>
      <c r="H54" s="66">
        <f t="shared" si="14"/>
        <v>6654</v>
      </c>
      <c r="I54" s="66">
        <f t="shared" si="14"/>
        <v>7101</v>
      </c>
      <c r="J54" s="66">
        <f t="shared" si="14"/>
        <v>6957</v>
      </c>
      <c r="K54" s="66">
        <f t="shared" si="14"/>
        <v>6794</v>
      </c>
      <c r="L54" s="66">
        <f t="shared" si="14"/>
        <v>6448</v>
      </c>
      <c r="M54" s="66">
        <f t="shared" si="14"/>
        <v>5905</v>
      </c>
      <c r="N54" s="66">
        <f t="shared" si="14"/>
        <v>8753</v>
      </c>
      <c r="O54" s="66">
        <f t="shared" si="14"/>
        <v>10642</v>
      </c>
      <c r="P54" s="66">
        <f t="shared" si="14"/>
        <v>11389</v>
      </c>
      <c r="Q54" s="66">
        <f t="shared" si="14"/>
        <v>11505</v>
      </c>
      <c r="R54" s="66">
        <f t="shared" si="14"/>
        <v>12205</v>
      </c>
      <c r="S54" s="67">
        <f t="shared" si="14"/>
        <v>12175</v>
      </c>
    </row>
    <row r="55" spans="1:19" ht="12.75">
      <c r="A55" s="53" t="s">
        <v>11</v>
      </c>
      <c r="B55" s="22">
        <f t="shared" si="14"/>
        <v>5469</v>
      </c>
      <c r="C55" s="22">
        <f>SUM(C19,C25,C31,C37,C43,C49)+1440+3+1650</f>
        <v>4027</v>
      </c>
      <c r="D55" s="22">
        <f>1725+402+2288</f>
        <v>4415</v>
      </c>
      <c r="E55" s="22">
        <f>1678+800+2463</f>
        <v>4941</v>
      </c>
      <c r="F55" s="22">
        <f>2499+919+3375</f>
        <v>6793</v>
      </c>
      <c r="G55" s="22">
        <f>943+1383+3232</f>
        <v>5558</v>
      </c>
      <c r="H55" s="22">
        <f t="shared" si="14"/>
        <v>5373</v>
      </c>
      <c r="I55" s="22">
        <f t="shared" si="14"/>
        <v>4856</v>
      </c>
      <c r="J55" s="22">
        <f t="shared" si="14"/>
        <v>5452</v>
      </c>
      <c r="K55" s="22">
        <f t="shared" si="14"/>
        <v>5461</v>
      </c>
      <c r="L55" s="22">
        <f t="shared" si="14"/>
        <v>6372</v>
      </c>
      <c r="M55" s="22">
        <f t="shared" si="14"/>
        <v>7753</v>
      </c>
      <c r="N55" s="22">
        <f t="shared" si="14"/>
        <v>10071</v>
      </c>
      <c r="O55" s="22">
        <f t="shared" si="14"/>
        <v>11660</v>
      </c>
      <c r="P55" s="22">
        <f t="shared" si="14"/>
        <v>15631</v>
      </c>
      <c r="Q55" s="22">
        <f t="shared" si="14"/>
        <v>16464</v>
      </c>
      <c r="R55" s="22">
        <f t="shared" si="14"/>
        <v>12950</v>
      </c>
      <c r="S55" s="21">
        <f t="shared" si="14"/>
        <v>16202</v>
      </c>
    </row>
    <row r="56" spans="1:19" ht="25.5">
      <c r="A56" s="54" t="s">
        <v>10</v>
      </c>
      <c r="B56" s="20">
        <f t="shared" si="14"/>
        <v>10450</v>
      </c>
      <c r="C56" s="20">
        <f>SUM(C20,C26,C32,C38,C44,C50)+1440+3+1650</f>
        <v>8919</v>
      </c>
      <c r="D56" s="20">
        <v>9573</v>
      </c>
      <c r="E56" s="20">
        <v>9719</v>
      </c>
      <c r="F56" s="20">
        <f>SUM(F54:F55)</f>
        <v>12108</v>
      </c>
      <c r="G56" s="20">
        <f>SUM(G54:G55)</f>
        <v>11440</v>
      </c>
      <c r="H56" s="20">
        <f t="shared" si="14"/>
        <v>12027</v>
      </c>
      <c r="I56" s="20">
        <f t="shared" si="14"/>
        <v>11957</v>
      </c>
      <c r="J56" s="20">
        <f t="shared" si="14"/>
        <v>12409</v>
      </c>
      <c r="K56" s="20">
        <f t="shared" si="14"/>
        <v>12255</v>
      </c>
      <c r="L56" s="20">
        <f t="shared" si="14"/>
        <v>12820</v>
      </c>
      <c r="M56" s="20">
        <f t="shared" si="14"/>
        <v>13658</v>
      </c>
      <c r="N56" s="20">
        <f t="shared" si="14"/>
        <v>18824</v>
      </c>
      <c r="O56" s="20">
        <f t="shared" si="14"/>
        <v>22302</v>
      </c>
      <c r="P56" s="20">
        <f t="shared" si="14"/>
        <v>27020</v>
      </c>
      <c r="Q56" s="20">
        <f t="shared" si="14"/>
        <v>27969</v>
      </c>
      <c r="R56" s="20">
        <f t="shared" si="14"/>
        <v>25155</v>
      </c>
      <c r="S56" s="19">
        <f t="shared" si="14"/>
        <v>28377</v>
      </c>
    </row>
    <row r="57" spans="1:19" ht="12.75">
      <c r="A57" s="55" t="s">
        <v>9</v>
      </c>
      <c r="B57" s="71">
        <f t="shared" si="14"/>
        <v>-8207</v>
      </c>
      <c r="C57" s="71">
        <f>SUM(C21,C27,C33,C39,C45,C51)+1440+3+1650</f>
        <v>-10617</v>
      </c>
      <c r="D57" s="71">
        <f>D56-20594</f>
        <v>-11021</v>
      </c>
      <c r="E57" s="71">
        <f>E56-22141</f>
        <v>-12422</v>
      </c>
      <c r="F57" s="71">
        <f>F56-23828</f>
        <v>-11720</v>
      </c>
      <c r="G57" s="71">
        <f>G56-21844</f>
        <v>-10404</v>
      </c>
      <c r="H57" s="71">
        <f t="shared" si="14"/>
        <v>-9423</v>
      </c>
      <c r="I57" s="71">
        <f t="shared" si="14"/>
        <v>-9948</v>
      </c>
      <c r="J57" s="71">
        <f t="shared" si="14"/>
        <v>-11474</v>
      </c>
      <c r="K57" s="71">
        <f t="shared" si="14"/>
        <v>-12426</v>
      </c>
      <c r="L57" s="71">
        <f t="shared" si="14"/>
        <v>-13451</v>
      </c>
      <c r="M57" s="71">
        <f t="shared" si="14"/>
        <v>-16840</v>
      </c>
      <c r="N57" s="71">
        <f t="shared" si="14"/>
        <v>-13980</v>
      </c>
      <c r="O57" s="71">
        <f t="shared" si="14"/>
        <v>-15124</v>
      </c>
      <c r="P57" s="71">
        <f t="shared" si="14"/>
        <v>-13157</v>
      </c>
      <c r="Q57" s="71">
        <f t="shared" si="14"/>
        <v>-17077</v>
      </c>
      <c r="R57" s="71">
        <f t="shared" si="14"/>
        <v>-18323</v>
      </c>
      <c r="S57" s="18">
        <f t="shared" si="14"/>
        <v>-21088</v>
      </c>
    </row>
    <row r="58" spans="1:19" ht="12.75">
      <c r="A58" s="56" t="s">
        <v>8</v>
      </c>
      <c r="B58" s="17">
        <f aca="true" t="shared" si="15" ref="B58:G58">B59-B55-B15</f>
        <v>8620</v>
      </c>
      <c r="C58" s="17">
        <f t="shared" si="15"/>
        <v>6169</v>
      </c>
      <c r="D58" s="17">
        <f t="shared" si="15"/>
        <v>6300</v>
      </c>
      <c r="E58" s="17">
        <f t="shared" si="15"/>
        <v>5571</v>
      </c>
      <c r="F58" s="17">
        <f t="shared" si="15"/>
        <v>5099</v>
      </c>
      <c r="G58" s="17">
        <f t="shared" si="15"/>
        <v>6269</v>
      </c>
      <c r="H58" s="17">
        <f aca="true" t="shared" si="16" ref="H58:S58">H59-H55-H15</f>
        <v>6291</v>
      </c>
      <c r="I58" s="17">
        <f t="shared" si="16"/>
        <v>6685</v>
      </c>
      <c r="J58" s="17">
        <f t="shared" si="16"/>
        <v>5873</v>
      </c>
      <c r="K58" s="17">
        <f t="shared" si="16"/>
        <v>6914</v>
      </c>
      <c r="L58" s="17">
        <f t="shared" si="16"/>
        <v>11503</v>
      </c>
      <c r="M58" s="17">
        <f t="shared" si="16"/>
        <v>15173</v>
      </c>
      <c r="N58" s="17">
        <f t="shared" si="16"/>
        <v>19585</v>
      </c>
      <c r="O58" s="17">
        <f t="shared" si="16"/>
        <v>20263</v>
      </c>
      <c r="P58" s="17">
        <f t="shared" si="16"/>
        <v>21390</v>
      </c>
      <c r="Q58" s="17">
        <f t="shared" si="16"/>
        <v>27821</v>
      </c>
      <c r="R58" s="17">
        <f t="shared" si="16"/>
        <v>32953</v>
      </c>
      <c r="S58" s="16">
        <f t="shared" si="16"/>
        <v>22917</v>
      </c>
    </row>
    <row r="59" spans="1:19" ht="12.75">
      <c r="A59" s="57" t="s">
        <v>7</v>
      </c>
      <c r="B59" s="7">
        <f>15657+28907</f>
        <v>44564</v>
      </c>
      <c r="C59" s="7">
        <f>973+12345+7947+250+14842</f>
        <v>36357</v>
      </c>
      <c r="D59" s="7">
        <f>15438+90+12641+9574</f>
        <v>37743</v>
      </c>
      <c r="E59" s="7">
        <f>15616+21873</f>
        <v>37489</v>
      </c>
      <c r="F59" s="7">
        <f>12108+11326+163+15947</f>
        <v>39544</v>
      </c>
      <c r="G59" s="7">
        <v>39418</v>
      </c>
      <c r="H59" s="7">
        <v>39128</v>
      </c>
      <c r="I59" s="7">
        <v>40822</v>
      </c>
      <c r="J59" s="7">
        <v>42709</v>
      </c>
      <c r="K59" s="7">
        <v>45489</v>
      </c>
      <c r="L59" s="7">
        <v>52175</v>
      </c>
      <c r="M59" s="7">
        <v>58567</v>
      </c>
      <c r="N59" s="7">
        <v>69883</v>
      </c>
      <c r="O59" s="7">
        <v>76598</v>
      </c>
      <c r="P59" s="7">
        <v>84243</v>
      </c>
      <c r="Q59" s="7">
        <v>94194</v>
      </c>
      <c r="R59" s="7">
        <v>106209</v>
      </c>
      <c r="S59" s="6">
        <v>104862</v>
      </c>
    </row>
    <row r="60" spans="1:19" ht="12.75">
      <c r="A60" s="47"/>
      <c r="B60" s="2"/>
      <c r="C60" s="2"/>
      <c r="D60" s="2"/>
      <c r="E60" s="2"/>
      <c r="F60" s="2"/>
      <c r="G60" s="2"/>
      <c r="H60" s="2"/>
      <c r="I60" s="2"/>
      <c r="J60" s="2"/>
      <c r="K60" s="2"/>
      <c r="L60" s="2"/>
      <c r="M60" s="2"/>
      <c r="N60" s="2"/>
      <c r="O60" s="2"/>
      <c r="P60" s="2"/>
      <c r="Q60" s="2"/>
      <c r="R60" s="2"/>
      <c r="S60" s="5"/>
    </row>
    <row r="61" spans="1:19" ht="12.75">
      <c r="A61" s="48" t="s">
        <v>6</v>
      </c>
      <c r="B61" s="17"/>
      <c r="C61" s="17"/>
      <c r="D61" s="17"/>
      <c r="E61" s="17"/>
      <c r="F61" s="17"/>
      <c r="G61" s="17"/>
      <c r="H61" s="17"/>
      <c r="I61" s="17"/>
      <c r="J61" s="17"/>
      <c r="K61" s="17"/>
      <c r="L61" s="17"/>
      <c r="M61" s="17"/>
      <c r="N61" s="17"/>
      <c r="O61" s="17"/>
      <c r="P61" s="17"/>
      <c r="Q61" s="17"/>
      <c r="R61" s="17"/>
      <c r="S61" s="16"/>
    </row>
    <row r="62" spans="1:19" ht="25.5">
      <c r="A62" s="47" t="s">
        <v>38</v>
      </c>
      <c r="B62" s="2">
        <f>399+613+688+98+147</f>
        <v>1945</v>
      </c>
      <c r="C62" s="89">
        <f>5+39+71+158+118+61+55+23+66+83+36+24+5+18+15+15+6+42+34+13+43+10+232</f>
        <v>1172</v>
      </c>
      <c r="D62" s="89">
        <f>46+156</f>
        <v>202</v>
      </c>
      <c r="E62" s="89">
        <f>173</f>
        <v>173</v>
      </c>
      <c r="F62" s="89">
        <v>89</v>
      </c>
      <c r="G62" s="89">
        <v>59</v>
      </c>
      <c r="H62" s="2">
        <f>764+303</f>
        <v>1067</v>
      </c>
      <c r="I62" s="2">
        <f>1039+332</f>
        <v>1371</v>
      </c>
      <c r="J62" s="2">
        <f>403+1078</f>
        <v>1481</v>
      </c>
      <c r="K62" s="2">
        <f>1094+407</f>
        <v>1501</v>
      </c>
      <c r="L62" s="2">
        <f>1229+537</f>
        <v>1766</v>
      </c>
      <c r="M62" s="2">
        <f>1287+602</f>
        <v>1889</v>
      </c>
      <c r="N62" s="2">
        <f>638+1463</f>
        <v>2101</v>
      </c>
      <c r="O62" s="2">
        <f>1621+592</f>
        <v>2213</v>
      </c>
      <c r="P62" s="2">
        <f>545+1717</f>
        <v>2262</v>
      </c>
      <c r="Q62" s="2">
        <f>1966+585</f>
        <v>2551</v>
      </c>
      <c r="R62" s="2">
        <f>1533+536</f>
        <v>2069</v>
      </c>
      <c r="S62" s="5">
        <f>1504+648</f>
        <v>2152</v>
      </c>
    </row>
    <row r="63" spans="1:19" ht="12.75">
      <c r="A63" s="58" t="s">
        <v>37</v>
      </c>
      <c r="B63" s="15">
        <f>16668+507</f>
        <v>17175</v>
      </c>
      <c r="C63" s="91">
        <f>13025-C62</f>
        <v>11853</v>
      </c>
      <c r="D63" s="91">
        <v>13066</v>
      </c>
      <c r="E63" s="91">
        <v>11367</v>
      </c>
      <c r="F63" s="91">
        <v>10330</v>
      </c>
      <c r="G63" s="91">
        <v>10009</v>
      </c>
      <c r="H63" s="15">
        <f>218+9120</f>
        <v>9338</v>
      </c>
      <c r="I63" s="15">
        <f>429+11319</f>
        <v>11748</v>
      </c>
      <c r="J63" s="15">
        <f>12082+537</f>
        <v>12619</v>
      </c>
      <c r="K63" s="15">
        <f>13416+587</f>
        <v>14003</v>
      </c>
      <c r="L63" s="15">
        <f>16496+947</f>
        <v>17443</v>
      </c>
      <c r="M63" s="15">
        <f>17447+998</f>
        <v>18445</v>
      </c>
      <c r="N63" s="15">
        <f>17580+1134</f>
        <v>18714</v>
      </c>
      <c r="O63" s="15">
        <f>22029+1237</f>
        <v>23266</v>
      </c>
      <c r="P63" s="15">
        <f>21596+961</f>
        <v>22557</v>
      </c>
      <c r="Q63" s="15">
        <f>26861+781</f>
        <v>27642</v>
      </c>
      <c r="R63" s="15">
        <f>32954+1326</f>
        <v>34280</v>
      </c>
      <c r="S63" s="14">
        <f>35823+1097</f>
        <v>36920</v>
      </c>
    </row>
    <row r="64" spans="1:19" ht="25.5" outlineLevel="1">
      <c r="A64" s="59" t="s">
        <v>52</v>
      </c>
      <c r="B64" s="13"/>
      <c r="C64" s="63"/>
      <c r="D64" s="13"/>
      <c r="E64" s="13"/>
      <c r="F64" s="13"/>
      <c r="G64" s="63"/>
      <c r="H64" s="13"/>
      <c r="I64" s="13"/>
      <c r="J64" s="13"/>
      <c r="K64" s="13"/>
      <c r="L64" s="13"/>
      <c r="M64" s="13"/>
      <c r="N64" s="13"/>
      <c r="O64" s="13"/>
      <c r="P64" s="13"/>
      <c r="Q64" s="13"/>
      <c r="R64" s="13"/>
      <c r="S64" s="12"/>
    </row>
    <row r="65" spans="1:19" ht="12.75" customHeight="1" outlineLevel="1">
      <c r="A65" s="60" t="s">
        <v>5</v>
      </c>
      <c r="B65" s="11"/>
      <c r="C65" s="92"/>
      <c r="D65" s="11"/>
      <c r="E65" s="11"/>
      <c r="F65" s="11"/>
      <c r="G65" s="92"/>
      <c r="H65" s="11"/>
      <c r="I65" s="11"/>
      <c r="J65" s="11"/>
      <c r="K65" s="11"/>
      <c r="L65" s="11"/>
      <c r="M65" s="11"/>
      <c r="N65" s="11"/>
      <c r="O65" s="11"/>
      <c r="P65" s="11"/>
      <c r="Q65" s="11"/>
      <c r="R65" s="11"/>
      <c r="S65" s="10"/>
    </row>
    <row r="66" spans="1:19" ht="12.75">
      <c r="A66" s="59" t="s">
        <v>42</v>
      </c>
      <c r="B66" s="13">
        <v>6571</v>
      </c>
      <c r="C66" s="63">
        <f>2303+281+376+77+160+74+58+87+44+36+132+31+1+1+10+2+4+2+4+5+1+65+341+329+72+13+2+26+179+151+3+2+1+24+2+1+2+3+4+4+484+183+171+116+133+54+569+652+95+934+398+509+48+100</f>
        <v>9359</v>
      </c>
      <c r="D66" s="63">
        <v>20594</v>
      </c>
      <c r="E66" s="63">
        <v>22141</v>
      </c>
      <c r="F66" s="63">
        <v>23828</v>
      </c>
      <c r="G66" s="63">
        <v>21844</v>
      </c>
      <c r="H66" s="13">
        <f>7723</f>
        <v>7723</v>
      </c>
      <c r="I66" s="13">
        <v>8288</v>
      </c>
      <c r="J66" s="13">
        <f>8011</f>
        <v>8011</v>
      </c>
      <c r="K66" s="13">
        <v>8933</v>
      </c>
      <c r="L66" s="13">
        <v>9192</v>
      </c>
      <c r="M66" s="13">
        <v>10476</v>
      </c>
      <c r="N66" s="13">
        <v>9103</v>
      </c>
      <c r="O66" s="13">
        <v>9305</v>
      </c>
      <c r="P66" s="13">
        <v>8690</v>
      </c>
      <c r="Q66" s="13">
        <v>9142</v>
      </c>
      <c r="R66" s="13">
        <v>8490</v>
      </c>
      <c r="S66" s="12">
        <v>10390</v>
      </c>
    </row>
    <row r="67" spans="1:19" ht="13.5" customHeight="1">
      <c r="A67" s="79" t="s">
        <v>50</v>
      </c>
      <c r="B67" s="82">
        <f>1843+1103+1361</f>
        <v>4307</v>
      </c>
      <c r="C67" s="80">
        <f>4556</f>
        <v>4556</v>
      </c>
      <c r="D67" s="82"/>
      <c r="E67" s="82"/>
      <c r="F67" s="82"/>
      <c r="G67" s="82"/>
      <c r="H67" s="82">
        <v>9851</v>
      </c>
      <c r="I67" s="82">
        <f>1862+758+477+6152</f>
        <v>9249</v>
      </c>
      <c r="J67" s="82">
        <f>2044+862+689+7447</f>
        <v>11042</v>
      </c>
      <c r="K67" s="82">
        <f>2198+1059+869+6553</f>
        <v>10679</v>
      </c>
      <c r="L67" s="82">
        <f>2179+902+930+7570</f>
        <v>11581</v>
      </c>
      <c r="M67" s="82">
        <f>2710+1118+1177+8818</f>
        <v>13823</v>
      </c>
      <c r="N67" s="82">
        <f>3657+1591+1231+8577</f>
        <v>15056</v>
      </c>
      <c r="O67" s="82">
        <f>5298+1693+1442+9961</f>
        <v>18394</v>
      </c>
      <c r="P67" s="82">
        <f>6913+1109+10971+1231</f>
        <v>20224</v>
      </c>
      <c r="Q67" s="82">
        <f>12644+1214+1378+11572</f>
        <v>26808</v>
      </c>
      <c r="R67" s="82">
        <f>10612+1424+1461+12845</f>
        <v>26342</v>
      </c>
      <c r="S67" s="83">
        <f>10548+1704+1458+16045</f>
        <v>29755</v>
      </c>
    </row>
    <row r="68" spans="1:19" ht="12.75">
      <c r="A68" s="79" t="s">
        <v>62</v>
      </c>
      <c r="B68" s="13">
        <f>1482+6297+1844</f>
        <v>9623</v>
      </c>
      <c r="C68" s="63">
        <f>14980-C66</f>
        <v>5621</v>
      </c>
      <c r="D68" s="13"/>
      <c r="E68" s="13"/>
      <c r="F68" s="13"/>
      <c r="G68" s="13"/>
      <c r="H68" s="13">
        <v>3876</v>
      </c>
      <c r="I68" s="13">
        <f>2642+4368</f>
        <v>7010</v>
      </c>
      <c r="J68" s="13">
        <f>2451+4830</f>
        <v>7281</v>
      </c>
      <c r="K68" s="13">
        <f>2599+5069</f>
        <v>7668</v>
      </c>
      <c r="L68" s="13">
        <f>3143+5498</f>
        <v>8641</v>
      </c>
      <c r="M68" s="13">
        <f>3838+6199</f>
        <v>10037</v>
      </c>
      <c r="N68" s="13">
        <f>4803+8645</f>
        <v>13448</v>
      </c>
      <c r="O68" s="13">
        <f>5390+9727</f>
        <v>15117</v>
      </c>
      <c r="P68" s="13">
        <f>3435+11263</f>
        <v>14698</v>
      </c>
      <c r="Q68" s="13">
        <f>3628+9096</f>
        <v>12724</v>
      </c>
      <c r="R68" s="13">
        <f>5887+8646</f>
        <v>14533</v>
      </c>
      <c r="S68" s="12">
        <f>7535+9320</f>
        <v>16855</v>
      </c>
    </row>
    <row r="69" spans="1:19" ht="25.5">
      <c r="A69" s="61" t="s">
        <v>4</v>
      </c>
      <c r="B69" s="9">
        <f aca="true" t="shared" si="17" ref="B69:I69">B71</f>
        <v>3814</v>
      </c>
      <c r="C69" s="9">
        <f t="shared" si="17"/>
        <v>2943</v>
      </c>
      <c r="D69" s="9">
        <f t="shared" si="17"/>
        <v>2273</v>
      </c>
      <c r="E69" s="9">
        <f t="shared" si="17"/>
        <v>3164</v>
      </c>
      <c r="F69" s="9">
        <f t="shared" si="17"/>
        <v>2616</v>
      </c>
      <c r="G69" s="9">
        <f t="shared" si="17"/>
        <v>2441</v>
      </c>
      <c r="H69" s="9">
        <f t="shared" si="17"/>
        <v>4398</v>
      </c>
      <c r="I69" s="9">
        <f t="shared" si="17"/>
        <v>1622</v>
      </c>
      <c r="J69" s="9">
        <f>J71</f>
        <v>461</v>
      </c>
      <c r="K69" s="9">
        <f>42332-SUM(K62:K68)</f>
        <v>-452</v>
      </c>
      <c r="L69" s="9">
        <f>49360-SUM(L62:L68)</f>
        <v>737</v>
      </c>
      <c r="M69" s="9">
        <f>54858-SUM(M62:M68)</f>
        <v>188</v>
      </c>
      <c r="N69" s="9">
        <f>60810-SUM(N62:N68)</f>
        <v>2388</v>
      </c>
      <c r="O69" s="9">
        <f>68992-SUM(O62:O68)</f>
        <v>697</v>
      </c>
      <c r="P69" s="9">
        <f>74353-SUM(P62:P68)</f>
        <v>5922</v>
      </c>
      <c r="Q69" s="9">
        <f>86656-SUM(Q62:Q68)</f>
        <v>7789</v>
      </c>
      <c r="R69" s="9">
        <f>94434-SUM(R62:R68)</f>
        <v>8720</v>
      </c>
      <c r="S69" s="8">
        <f>S71</f>
        <v>7472</v>
      </c>
    </row>
    <row r="70" spans="1:19" ht="12.75">
      <c r="A70" s="61" t="s">
        <v>3</v>
      </c>
      <c r="B70" s="9">
        <v>0</v>
      </c>
      <c r="C70" s="9">
        <v>0</v>
      </c>
      <c r="D70" s="9">
        <v>0</v>
      </c>
      <c r="E70" s="9">
        <v>0</v>
      </c>
      <c r="F70" s="9">
        <v>0</v>
      </c>
      <c r="G70" s="9">
        <v>0</v>
      </c>
      <c r="H70" s="9">
        <v>0</v>
      </c>
      <c r="I70" s="9">
        <v>0</v>
      </c>
      <c r="J70" s="9">
        <v>0</v>
      </c>
      <c r="K70" s="9">
        <f>K72-42332</f>
        <v>-123</v>
      </c>
      <c r="L70" s="9">
        <f>L72-49360</f>
        <v>773</v>
      </c>
      <c r="M70" s="9">
        <f>M72-54858</f>
        <v>2560</v>
      </c>
      <c r="N70" s="9">
        <f>N72-60810</f>
        <v>5333</v>
      </c>
      <c r="O70" s="9">
        <f>O72-68992</f>
        <v>4154</v>
      </c>
      <c r="P70" s="9">
        <f>P72-74353</f>
        <v>6486</v>
      </c>
      <c r="Q70" s="9">
        <f>Q72-86656</f>
        <v>9682</v>
      </c>
      <c r="R70" s="9">
        <f>R72-94434</f>
        <v>10535</v>
      </c>
      <c r="S70" s="8">
        <v>0</v>
      </c>
    </row>
    <row r="71" spans="1:19" ht="38.25">
      <c r="A71" s="47" t="s">
        <v>2</v>
      </c>
      <c r="B71" s="74">
        <f>B72-SUM(B62:B68)</f>
        <v>3814</v>
      </c>
      <c r="C71" s="74">
        <f aca="true" t="shared" si="18" ref="C71:S71">C72-SUM(C62:C68)</f>
        <v>2943</v>
      </c>
      <c r="D71" s="74">
        <f>D72-SUM(D62:D68)</f>
        <v>2273</v>
      </c>
      <c r="E71" s="74">
        <f t="shared" si="18"/>
        <v>3164</v>
      </c>
      <c r="F71" s="74">
        <f t="shared" si="18"/>
        <v>2616</v>
      </c>
      <c r="G71" s="74">
        <f t="shared" si="18"/>
        <v>2441</v>
      </c>
      <c r="H71" s="74">
        <f t="shared" si="18"/>
        <v>4398</v>
      </c>
      <c r="I71" s="74">
        <f t="shared" si="18"/>
        <v>1622</v>
      </c>
      <c r="J71" s="74">
        <f t="shared" si="18"/>
        <v>461</v>
      </c>
      <c r="K71" s="74">
        <f t="shared" si="18"/>
        <v>-575</v>
      </c>
      <c r="L71" s="74">
        <f t="shared" si="18"/>
        <v>1510</v>
      </c>
      <c r="M71" s="74">
        <f t="shared" si="18"/>
        <v>2748</v>
      </c>
      <c r="N71" s="74">
        <f t="shared" si="18"/>
        <v>7721</v>
      </c>
      <c r="O71" s="74">
        <f t="shared" si="18"/>
        <v>4851</v>
      </c>
      <c r="P71" s="74">
        <f t="shared" si="18"/>
        <v>12408</v>
      </c>
      <c r="Q71" s="74">
        <f t="shared" si="18"/>
        <v>17471</v>
      </c>
      <c r="R71" s="74">
        <f t="shared" si="18"/>
        <v>19255</v>
      </c>
      <c r="S71" s="75">
        <f t="shared" si="18"/>
        <v>7472</v>
      </c>
    </row>
    <row r="72" spans="1:19" ht="12.75">
      <c r="A72" s="57" t="s">
        <v>1</v>
      </c>
      <c r="B72" s="7">
        <v>43435</v>
      </c>
      <c r="C72" s="7">
        <f>4556+13025+14980+2943</f>
        <v>35504</v>
      </c>
      <c r="D72" s="7">
        <f>2475+13066+20594</f>
        <v>36135</v>
      </c>
      <c r="E72" s="7">
        <v>36845</v>
      </c>
      <c r="F72" s="7">
        <f>23828+10330+2705</f>
        <v>36863</v>
      </c>
      <c r="G72" s="7">
        <v>34353</v>
      </c>
      <c r="H72" s="7">
        <v>36253</v>
      </c>
      <c r="I72" s="7">
        <v>39288</v>
      </c>
      <c r="J72" s="7">
        <v>40895</v>
      </c>
      <c r="K72" s="7">
        <v>42209</v>
      </c>
      <c r="L72" s="7">
        <v>50133</v>
      </c>
      <c r="M72" s="7">
        <v>57418</v>
      </c>
      <c r="N72" s="7">
        <v>66143</v>
      </c>
      <c r="O72" s="7">
        <v>73146</v>
      </c>
      <c r="P72" s="7">
        <v>80839</v>
      </c>
      <c r="Q72" s="7">
        <v>96338</v>
      </c>
      <c r="R72" s="7">
        <v>104969</v>
      </c>
      <c r="S72" s="6">
        <v>103544</v>
      </c>
    </row>
    <row r="73" spans="1:19" ht="12.75">
      <c r="A73" s="47"/>
      <c r="B73" s="2"/>
      <c r="C73" s="2"/>
      <c r="D73" s="2"/>
      <c r="E73" s="2"/>
      <c r="F73" s="2"/>
      <c r="G73" s="2"/>
      <c r="H73" s="2"/>
      <c r="I73" s="2"/>
      <c r="J73" s="2"/>
      <c r="K73" s="2"/>
      <c r="L73" s="2"/>
      <c r="M73" s="2"/>
      <c r="N73" s="2"/>
      <c r="O73" s="2"/>
      <c r="P73" s="2"/>
      <c r="Q73" s="2"/>
      <c r="R73" s="2"/>
      <c r="S73" s="5"/>
    </row>
    <row r="74" spans="1:19" ht="12.75">
      <c r="A74" s="62" t="s">
        <v>0</v>
      </c>
      <c r="B74" s="4">
        <v>72731</v>
      </c>
      <c r="C74" s="4">
        <v>74441</v>
      </c>
      <c r="D74" s="4">
        <v>236490</v>
      </c>
      <c r="E74" s="4">
        <v>231601</v>
      </c>
      <c r="F74" s="4">
        <v>236201</v>
      </c>
      <c r="G74" s="4">
        <v>254380</v>
      </c>
      <c r="H74" s="4">
        <v>265787</v>
      </c>
      <c r="I74" s="4">
        <v>272058</v>
      </c>
      <c r="J74" s="4">
        <v>288447</v>
      </c>
      <c r="K74" s="4">
        <v>291802</v>
      </c>
      <c r="L74" s="4">
        <v>296729</v>
      </c>
      <c r="M74" s="4">
        <v>333182</v>
      </c>
      <c r="N74" s="4">
        <v>358447</v>
      </c>
      <c r="O74" s="4">
        <v>362079</v>
      </c>
      <c r="P74" s="4">
        <v>423194</v>
      </c>
      <c r="Q74" s="4">
        <v>421024</v>
      </c>
      <c r="R74" s="4">
        <v>421554</v>
      </c>
      <c r="S74" s="3">
        <v>584071</v>
      </c>
    </row>
  </sheetData>
  <sheetProtection/>
  <mergeCells count="1">
    <mergeCell ref="B1:S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Riddhi</dc:creator>
  <cp:keywords/>
  <dc:description/>
  <cp:lastModifiedBy>Riddhi</cp:lastModifiedBy>
  <dcterms:created xsi:type="dcterms:W3CDTF">2009-01-19T21:09:56Z</dcterms:created>
  <dcterms:modified xsi:type="dcterms:W3CDTF">2009-02-11T01:15:53Z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